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itaçoes.LICITACOES-PC\Downloads\"/>
    </mc:Choice>
  </mc:AlternateContent>
  <bookViews>
    <workbookView xWindow="0" yWindow="0" windowWidth="20490" windowHeight="7155" tabRatio="802"/>
  </bookViews>
  <sheets>
    <sheet name="1.Serviço Médico OPTANTE SIMPLE" sheetId="2" r:id="rId1"/>
    <sheet name="1. Serviço Médico não optante s" sheetId="10" r:id="rId2"/>
    <sheet name="2.Encargos Sociais" sheetId="8" r:id="rId3"/>
    <sheet name="3.CAGED" sheetId="5" r:id="rId4"/>
    <sheet name="4.BDI" sheetId="4" r:id="rId5"/>
    <sheet name="5. Depreciação" sheetId="6" r:id="rId6"/>
    <sheet name="6.Remuneração de capital" sheetId="7" r:id="rId7"/>
    <sheet name="7. Dimensionamento" sheetId="9" r:id="rId8"/>
  </sheets>
  <definedNames>
    <definedName name="AbaDeprec">'5. Depreciação'!$A$1</definedName>
    <definedName name="AbaRemun">'6.Remuneração de capital'!$A$1</definedName>
    <definedName name="_xlnm.Print_Area" localSheetId="0">'1.Serviço Médico OPTANTE SIMPLE'!$A$1:$F$63</definedName>
    <definedName name="_xlnm.Print_Area" localSheetId="2">'2.Encargos Sociais'!$A$1:$F$54</definedName>
    <definedName name="_xlnm.Print_Area" localSheetId="3">'3.CAGED'!$A$1:$L$42</definedName>
    <definedName name="_xlnm.Print_Titles" localSheetId="0">'1.Serviço Médico OPTANTE SIMPLE'!$1:$2</definedName>
  </definedNames>
  <calcPr calcId="152511"/>
</workbook>
</file>

<file path=xl/calcChain.xml><?xml version="1.0" encoding="utf-8"?>
<calcChain xmlns="http://schemas.openxmlformats.org/spreadsheetml/2006/main">
  <c r="C30" i="4" l="1"/>
  <c r="C18" i="10" l="1"/>
  <c r="E46" i="10"/>
  <c r="F47" i="10" s="1"/>
  <c r="C38" i="10"/>
  <c r="E37" i="10"/>
  <c r="E36" i="10"/>
  <c r="D38" i="10" s="1"/>
  <c r="E38" i="10" s="1"/>
  <c r="F39" i="10" s="1"/>
  <c r="E15" i="10"/>
  <c r="E17" i="10" s="1"/>
  <c r="E9" i="10"/>
  <c r="C54" i="2"/>
  <c r="C33" i="4"/>
  <c r="C54" i="10" s="1"/>
  <c r="C15" i="4"/>
  <c r="C18" i="2"/>
  <c r="D18" i="10" l="1"/>
  <c r="E18" i="10" s="1"/>
  <c r="E19" i="10" s="1"/>
  <c r="D20" i="10" s="1"/>
  <c r="E20" i="10" s="1"/>
  <c r="F21" i="10" s="1"/>
  <c r="D16" i="10"/>
  <c r="F29" i="10" l="1"/>
  <c r="F51" i="10" s="1"/>
  <c r="F42" i="10"/>
  <c r="D54" i="10" l="1"/>
  <c r="E54" i="10" l="1"/>
  <c r="F54" i="10" s="1"/>
  <c r="F57" i="10" s="1"/>
  <c r="F59" i="10" s="1"/>
  <c r="E37" i="2"/>
  <c r="E36" i="2"/>
  <c r="E46" i="2"/>
  <c r="F47" i="2" s="1"/>
  <c r="E15" i="2" l="1"/>
  <c r="C18" i="9" l="1"/>
  <c r="C10" i="9"/>
  <c r="C11" i="9" s="1"/>
  <c r="C12" i="9" l="1"/>
  <c r="C14" i="9"/>
  <c r="C19" i="9" s="1"/>
  <c r="C21" i="9" s="1"/>
  <c r="C38" i="2" l="1"/>
  <c r="D38" i="2" l="1"/>
  <c r="C34" i="5"/>
  <c r="C29" i="5"/>
  <c r="C28" i="5"/>
  <c r="D16" i="2"/>
  <c r="G28" i="5" l="1"/>
  <c r="C39" i="5"/>
  <c r="E37" i="5"/>
  <c r="D37" i="5" s="1"/>
  <c r="D38" i="5" s="1"/>
  <c r="C38" i="5" s="1"/>
  <c r="E9" i="2"/>
  <c r="E17" i="2"/>
  <c r="D18" i="2" s="1"/>
  <c r="K35" i="5" l="1"/>
  <c r="K36" i="5" s="1"/>
  <c r="K37" i="5" s="1"/>
  <c r="K38" i="5" s="1"/>
  <c r="K39" i="5" s="1"/>
  <c r="K40" i="5" s="1"/>
  <c r="K41" i="5" s="1"/>
  <c r="F37" i="5"/>
  <c r="G37" i="5" s="1"/>
  <c r="C37" i="5"/>
  <c r="E38" i="2"/>
  <c r="F39" i="2" l="1"/>
  <c r="G38" i="5"/>
  <c r="G32" i="5"/>
  <c r="E18" i="2" l="1"/>
  <c r="E19" i="2" s="1"/>
  <c r="D20" i="2" s="1"/>
  <c r="E20" i="2" s="1"/>
  <c r="F21" i="2" s="1"/>
  <c r="F42" i="2" s="1"/>
  <c r="F29" i="2" l="1"/>
  <c r="F51" i="2" l="1"/>
  <c r="D54" i="2" s="1"/>
  <c r="E54" i="2" s="1"/>
  <c r="F54" i="2" l="1"/>
  <c r="F57" i="2" s="1"/>
  <c r="F59" i="2" s="1"/>
</calcChain>
</file>

<file path=xl/comments1.xml><?xml version="1.0" encoding="utf-8"?>
<comments xmlns="http://schemas.openxmlformats.org/spreadsheetml/2006/main">
  <authors>
    <author>Jorge Mesquita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</rPr>
          <t>Jorge Mesquita:</t>
        </r>
        <r>
          <rPr>
            <sz val="9"/>
            <color indexed="81"/>
            <rFont val="Tahoma"/>
            <family val="2"/>
          </rPr>
          <t xml:space="preserve">
Criar um tipo de arredondamento.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cbridi</author>
    <author>Clauber Bridi</author>
    <author>Omar</author>
  </authors>
  <commentList>
    <comment ref="C9" authorId="0" shapeId="0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1" authorId="2" shape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Informe o número de dias de coleta por semana</t>
        </r>
      </text>
    </comment>
    <comment ref="C16" authorId="0" shapeId="0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17" authorId="0" shapeId="0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0" authorId="1" shapeId="0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<sst xmlns="http://schemas.openxmlformats.org/spreadsheetml/2006/main" count="283" uniqueCount="158">
  <si>
    <t>Adicional de Insalubridade</t>
  </si>
  <si>
    <t>%</t>
  </si>
  <si>
    <t>Soma</t>
  </si>
  <si>
    <t>Encargos Sociais</t>
  </si>
  <si>
    <t>Total do Efetivo</t>
  </si>
  <si>
    <t>mês</t>
  </si>
  <si>
    <t>unidade</t>
  </si>
  <si>
    <t>Benefícios e despesas indiretas</t>
  </si>
  <si>
    <t>Mão-de-obra</t>
  </si>
  <si>
    <t>Quantidade</t>
  </si>
  <si>
    <t>INSS</t>
  </si>
  <si>
    <t>FGTS</t>
  </si>
  <si>
    <t>2. Uniformes e Equipamentos de Proteção Individual</t>
  </si>
  <si>
    <t>1. Mão-de-obra</t>
  </si>
  <si>
    <t>Total de mão-de-obra (postos de trabalho)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</si>
  <si>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</si>
  <si>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</si>
  <si>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</si>
  <si>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</si>
  <si>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Administração Central</t>
  </si>
  <si>
    <t>AC</t>
  </si>
  <si>
    <t>Lucro</t>
  </si>
  <si>
    <t>L</t>
  </si>
  <si>
    <t>Fórmula para o cálculo do BDI:</t>
  </si>
  <si>
    <t>{[(1+AC+SRG) x (1+L) x (1+DF)] / (1-T)} -1</t>
  </si>
  <si>
    <t>Resultado do cálculo do BDI:</t>
  </si>
  <si>
    <t>dia</t>
  </si>
  <si>
    <t>Custo Mensal com Mão-de-obra (R$/mês)</t>
  </si>
  <si>
    <t>Quantitativos</t>
  </si>
  <si>
    <t>i = taxa de juros do mercado (sugere-se adotar a taxa SELIC)</t>
  </si>
  <si>
    <t>n = vida útil do bem em anos</t>
  </si>
  <si>
    <t>Im = investimento médio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</si>
  <si>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</si>
  <si>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</si>
  <si>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</si>
  <si>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</si>
  <si>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</si>
  <si>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</si>
  <si>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</si>
  <si>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</si>
  <si>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</si>
  <si>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</si>
  <si>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</si>
  <si>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</si>
  <si>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Rotatividade</t>
  </si>
  <si>
    <t>Demitidos s/ Justa Causa em relação ao Estoque Médio</t>
  </si>
  <si>
    <t>Dias ano</t>
  </si>
  <si>
    <t>Estoque Médio</t>
  </si>
  <si>
    <t>Multa FGTS</t>
  </si>
  <si>
    <t>Fração de tempo para gozo férias</t>
  </si>
  <si>
    <t>Dias de Aviso prévio</t>
  </si>
  <si>
    <t>Valor</t>
  </si>
  <si>
    <t>1° Quartil</t>
  </si>
  <si>
    <t>Médio</t>
  </si>
  <si>
    <t>3° Quartil</t>
  </si>
  <si>
    <t>Fator de utilização</t>
  </si>
  <si>
    <t>Custo Mensal com Uniformes e EPIs (R$/mês)</t>
  </si>
  <si>
    <t>Orientações para preenchimento: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</si>
  <si>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</si>
  <si>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</si>
  <si>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</si>
  <si>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</si>
  <si>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</si>
  <si>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</si>
  <si>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</si>
  <si>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Piso da categoria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</si>
  <si>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</si>
  <si>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</si>
  <si>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</si>
  <si>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</si>
  <si>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</si>
  <si>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</si>
  <si>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</si>
  <si>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</si>
  <si>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</si>
  <si>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</si>
  <si>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MENSAL COM BDI (R$/mês)</t>
  </si>
  <si>
    <t>6. Preencha as células em amarelo</t>
  </si>
  <si>
    <t>1/3 de férias (dias)</t>
  </si>
  <si>
    <t>Férias (dias)</t>
  </si>
  <si>
    <t>13º Salário (dias)</t>
  </si>
  <si>
    <t>Referência estudo TCE</t>
  </si>
  <si>
    <t>Rotatividade temporal (meses)</t>
  </si>
  <si>
    <t>Fórmula de cálculo da remuneração de capital:</t>
  </si>
  <si>
    <t>2. Na Especificação da Consulta, selecione "Demonstrativo por período" e informe as competências relativas ao período Inicial e Final (últimos 12 meses)</t>
  </si>
  <si>
    <t>Durabilidade (meses)</t>
  </si>
  <si>
    <t>Estoque recuperado início do Período 01-09-2016</t>
  </si>
  <si>
    <t>Estoque recuperado final do Período 31-08-2017</t>
  </si>
  <si>
    <t>Variação Emprego Absoluta de 01-09-2016 a 31-08-2017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</si>
  <si>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</si>
  <si>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</si>
  <si>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</si>
  <si>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</si>
  <si>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</si>
  <si>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</si>
  <si>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</si>
  <si>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</si>
  <si>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</si>
  <si>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</si>
  <si>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</si>
  <si>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</si>
  <si>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</si>
  <si>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</si>
  <si>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</si>
  <si>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</si>
  <si>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</si>
  <si>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</si>
  <si>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</si>
  <si>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</si>
  <si>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</si>
  <si>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</si>
  <si>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</si>
  <si>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3. Preencher somente células em amarelo</t>
  </si>
  <si>
    <t>Depreciação Média</t>
  </si>
  <si>
    <t>2. Dimensionar separadamente setores atendidos por veículos de capacidade de carga diferentes.</t>
  </si>
  <si>
    <t>PREFEITURA MUNICIPAL BOA VISTA DO INCRA</t>
  </si>
  <si>
    <t>4. Benefícios e Despesas Indiretas - BDI</t>
  </si>
  <si>
    <t xml:space="preserve">Tributos </t>
  </si>
  <si>
    <t xml:space="preserve">2.1. Uniformes e EPIs </t>
  </si>
  <si>
    <t>4. Custo com deslocamento</t>
  </si>
  <si>
    <t>1.1 Serviço Médico Clínico Geral</t>
  </si>
  <si>
    <t>1.1. Serviço Médico Clínico Geral</t>
  </si>
  <si>
    <t xml:space="preserve">Total so Serviço Médico Clínico Geral </t>
  </si>
  <si>
    <t>Médico</t>
  </si>
  <si>
    <t>Jaleco</t>
  </si>
  <si>
    <t>SERVIÇO MÉDICO CLÍNICO GERAL</t>
  </si>
  <si>
    <t xml:space="preserve">CÁLCULO DAS VERBAS INDENIZATÓRIAS DOS EMPREGADOS </t>
  </si>
  <si>
    <t>1. Serviço Médico Clínico Geral - 20horas semanais</t>
  </si>
  <si>
    <t>Deslocamento 100 km (ida e volta)</t>
  </si>
  <si>
    <t>OBS.: Os dados do piso da categoria e insalubridade são baseados no fragmento do salario base da prefeitura</t>
  </si>
  <si>
    <t>LC 123/2006</t>
  </si>
  <si>
    <t>XIX - medicina, inclusive laboratorial, e enfermagem;                  </t>
  </si>
  <si>
    <r>
      <t>Art 18. § 5</t>
    </r>
    <r>
      <rPr>
        <strike/>
        <sz val="12"/>
        <color rgb="FF000000"/>
        <rFont val="Arial"/>
        <family val="2"/>
      </rPr>
      <t>º</t>
    </r>
    <r>
      <rPr>
        <sz val="12"/>
        <color rgb="FF000000"/>
        <rFont val="Arial"/>
        <family val="2"/>
      </rPr>
      <t>-B  Sem prejuízo do disposto no § 1</t>
    </r>
    <r>
      <rPr>
        <strike/>
        <sz val="12"/>
        <color rgb="FF000000"/>
        <rFont val="Arial"/>
        <family val="2"/>
      </rPr>
      <t>º</t>
    </r>
    <r>
      <rPr>
        <sz val="12"/>
        <color rgb="FF000000"/>
        <rFont val="Arial"/>
        <family val="2"/>
      </rPr>
      <t> do art. 17 desta Lei Complementar, serão tributadas na forma do Anexo III desta Lei Complementar as seguintes atividades de prestação de serviços: </t>
    </r>
  </si>
  <si>
    <t>1º situação: opante pelo simples</t>
  </si>
  <si>
    <t>Encargos Sociais e Trabalhistas</t>
  </si>
  <si>
    <t>(%)</t>
  </si>
  <si>
    <t>Encargos Trabalhistas</t>
  </si>
  <si>
    <t>13º Salário</t>
  </si>
  <si>
    <t>Férias</t>
  </si>
  <si>
    <t>SAT/RAT</t>
  </si>
  <si>
    <t>Salário Educação</t>
  </si>
  <si>
    <t>INCRA/SEST/SEBRAE/SENAT</t>
  </si>
  <si>
    <t>Total Previdenciário</t>
  </si>
  <si>
    <t>Previdenciário s/13º e Férias</t>
  </si>
  <si>
    <t>SOMA BÁSICO</t>
  </si>
  <si>
    <r>
      <t>FGTS/Provisão de Multa para Rescisão</t>
    </r>
    <r>
      <rPr>
        <i/>
        <sz val="12"/>
        <rFont val="Times New Roman"/>
        <family val="1"/>
      </rPr>
      <t> </t>
    </r>
  </si>
  <si>
    <t>Fonte: http://www.guiatrabalhista.com.br/tematicas/custostrabalhistas.htm em 06/10/2021</t>
  </si>
  <si>
    <t>SAT/RAT até</t>
  </si>
  <si>
    <r>
      <t>FGTS/Provisão de Multa para Rescisão</t>
    </r>
    <r>
      <rPr>
        <i/>
        <sz val="12"/>
        <color rgb="FF000000"/>
        <rFont val="Times New Roman"/>
        <family val="1"/>
      </rPr>
      <t> </t>
    </r>
  </si>
  <si>
    <t>2º situação: opante pelo simples</t>
  </si>
  <si>
    <t>EMPRESA OPTANTE PELO SIMPLES (COMÉRCIO/INDÚSTRIA) - CÁLCULO SOBRE UM SALÁRIO DE MENSALISTA</t>
  </si>
  <si>
    <r>
      <t>2ª</t>
    </r>
    <r>
      <rPr>
        <b/>
        <sz val="12"/>
        <color rgb="FF000000"/>
        <rFont val="Times New Roman"/>
        <family val="1"/>
      </rPr>
      <t> SITUAÇÃO - EMPRESA NÃO  OPTANTE PELO SIMPLES (COMÉRCIO/INDÚSTRIA) - CÁLCULO SOBRE UM SALÁRIO DE MENSALISTA</t>
    </r>
  </si>
  <si>
    <t>Planilha de Composição de Custos - EMPRESA OPTANTE PELO SIMPLES NACIONAL</t>
  </si>
  <si>
    <t>OPTANTE PELO SIMPLES</t>
  </si>
  <si>
    <t>NÃO OPTANTE PELO SIMPLES</t>
  </si>
  <si>
    <t>LUCRO:</t>
  </si>
  <si>
    <t>ART 15, PARÁGRAFO 1º, INCISO III DA LEI 9.249 DE 26 DE DEZEBMRO DE 1995,</t>
  </si>
  <si>
    <t>Planilha de Composição de Custos - EMPRESA NÃO OPTANTE PELO SIMPLES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</si>
</sst>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_-* #,##0.000_-;\-* #,##0.000_-;_-* &quot;-&quot;??_-;_-@_-"/>
    <numFmt numFmtId="168" formatCode="_-* #,##0.00_-;\-* #,##0.00_-;_-* &quot;-&quot;?_-;_-@_-"/>
    <numFmt numFmtId="169" formatCode="_-* #,##0_-;\-* #,##0_-;_-* &quot;-&quot;?_-;_-@_-"/>
    <numFmt numFmtId="170" formatCode="_(* #,##0.0000_);_(* \(#,##0.0000\);_(* &quot;-&quot;??_);_(@_)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sz val="12"/>
      <color rgb="FF000000"/>
      <name val="Arial"/>
      <family val="2"/>
    </font>
    <font>
      <strike/>
      <sz val="12"/>
      <color rgb="FF000000"/>
      <name val="Arial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2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5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164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3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4" fontId="5" fillId="0" borderId="2" xfId="3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3" applyFont="1" applyBorder="1" applyAlignment="1">
      <alignment horizontal="center" vertical="center"/>
    </xf>
    <xf numFmtId="164" fontId="2" fillId="2" borderId="4" xfId="3" applyFont="1" applyFill="1" applyBorder="1" applyAlignment="1">
      <alignment horizontal="center" vertical="center"/>
    </xf>
    <xf numFmtId="164" fontId="2" fillId="2" borderId="4" xfId="3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64" fontId="2" fillId="0" borderId="6" xfId="3" applyFont="1" applyBorder="1" applyAlignment="1">
      <alignment vertical="center"/>
    </xf>
    <xf numFmtId="164" fontId="2" fillId="0" borderId="7" xfId="3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4" fontId="5" fillId="0" borderId="6" xfId="3" applyFont="1" applyBorder="1" applyAlignment="1">
      <alignment vertical="center"/>
    </xf>
    <xf numFmtId="164" fontId="5" fillId="0" borderId="7" xfId="3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4" fillId="0" borderId="0" xfId="3" applyFont="1" applyAlignment="1">
      <alignment vertical="center"/>
    </xf>
    <xf numFmtId="164" fontId="3" fillId="0" borderId="0" xfId="3" applyFont="1" applyAlignment="1">
      <alignment vertical="center"/>
    </xf>
    <xf numFmtId="164" fontId="2" fillId="0" borderId="11" xfId="3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3" applyFont="1" applyBorder="1" applyAlignment="1">
      <alignment vertical="center"/>
    </xf>
    <xf numFmtId="164" fontId="5" fillId="0" borderId="0" xfId="3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64" fontId="9" fillId="2" borderId="15" xfId="3" applyFont="1" applyFill="1" applyBorder="1" applyAlignment="1">
      <alignment horizontal="center" vertical="center"/>
    </xf>
    <xf numFmtId="164" fontId="9" fillId="2" borderId="16" xfId="3" applyFont="1" applyFill="1" applyBorder="1" applyAlignment="1">
      <alignment horizontal="center" vertical="center"/>
    </xf>
    <xf numFmtId="164" fontId="5" fillId="0" borderId="8" xfId="3" applyFont="1" applyBorder="1" applyAlignment="1">
      <alignment vertical="center"/>
    </xf>
    <xf numFmtId="164" fontId="5" fillId="0" borderId="12" xfId="3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8" xfId="3" applyNumberFormat="1" applyFont="1" applyBorder="1" applyAlignment="1">
      <alignment horizontal="center" vertical="center"/>
    </xf>
    <xf numFmtId="164" fontId="2" fillId="0" borderId="26" xfId="3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64" fontId="5" fillId="0" borderId="9" xfId="3" applyFont="1" applyBorder="1" applyAlignment="1">
      <alignment vertical="center"/>
    </xf>
    <xf numFmtId="0" fontId="0" fillId="0" borderId="9" xfId="0" applyBorder="1" applyAlignment="1">
      <alignment vertical="center"/>
    </xf>
    <xf numFmtId="1" fontId="5" fillId="0" borderId="10" xfId="3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1" fontId="2" fillId="0" borderId="29" xfId="3" applyNumberFormat="1" applyFont="1" applyBorder="1" applyAlignment="1">
      <alignment horizontal="center" vertical="center"/>
    </xf>
    <xf numFmtId="164" fontId="5" fillId="0" borderId="1" xfId="3" applyFont="1" applyFill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0" fontId="2" fillId="0" borderId="0" xfId="0" applyFont="1"/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3" applyFont="1" applyAlignment="1">
      <alignment horizontal="center" vertical="center"/>
    </xf>
    <xf numFmtId="164" fontId="2" fillId="0" borderId="3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5" fillId="0" borderId="0" xfId="3" applyFont="1" applyAlignment="1">
      <alignment horizontal="right" vertical="center"/>
    </xf>
    <xf numFmtId="164" fontId="2" fillId="2" borderId="7" xfId="3" applyFont="1" applyFill="1" applyBorder="1" applyAlignment="1">
      <alignment horizontal="center" vertical="center"/>
    </xf>
    <xf numFmtId="164" fontId="2" fillId="0" borderId="32" xfId="3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64" fontId="5" fillId="0" borderId="33" xfId="3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4" fillId="0" borderId="12" xfId="0" applyFont="1" applyBorder="1"/>
    <xf numFmtId="0" fontId="5" fillId="0" borderId="0" xfId="0" applyFont="1" applyBorder="1"/>
    <xf numFmtId="0" fontId="14" fillId="0" borderId="39" xfId="0" applyFont="1" applyBorder="1"/>
    <xf numFmtId="0" fontId="14" fillId="3" borderId="18" xfId="0" applyFont="1" applyFill="1" applyBorder="1"/>
    <xf numFmtId="0" fontId="14" fillId="0" borderId="21" xfId="0" applyFont="1" applyBorder="1"/>
    <xf numFmtId="0" fontId="14" fillId="0" borderId="43" xfId="0" applyFont="1" applyBorder="1"/>
    <xf numFmtId="0" fontId="14" fillId="0" borderId="40" xfId="0" applyFont="1" applyBorder="1"/>
    <xf numFmtId="0" fontId="14" fillId="0" borderId="44" xfId="0" applyFont="1" applyBorder="1"/>
    <xf numFmtId="0" fontId="14" fillId="0" borderId="18" xfId="0" applyFont="1" applyBorder="1"/>
    <xf numFmtId="0" fontId="14" fillId="0" borderId="26" xfId="0" applyFont="1" applyBorder="1"/>
    <xf numFmtId="2" fontId="15" fillId="6" borderId="1" xfId="0" applyNumberFormat="1" applyFont="1" applyFill="1" applyBorder="1" applyAlignment="1">
      <alignment horizontal="right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2" fontId="15" fillId="6" borderId="30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0" fontId="15" fillId="0" borderId="0" xfId="0" applyNumberFormat="1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justify" vertical="center"/>
    </xf>
    <xf numFmtId="0" fontId="7" fillId="0" borderId="0" xfId="1" applyFont="1" applyBorder="1" applyAlignment="1" applyProtection="1">
      <alignment horizontal="left" vertical="center"/>
    </xf>
    <xf numFmtId="0" fontId="23" fillId="0" borderId="0" xfId="0" applyFont="1" applyBorder="1"/>
    <xf numFmtId="0" fontId="4" fillId="0" borderId="13" xfId="0" applyFont="1" applyBorder="1"/>
    <xf numFmtId="0" fontId="4" fillId="0" borderId="21" xfId="0" applyFont="1" applyBorder="1"/>
    <xf numFmtId="0" fontId="4" fillId="3" borderId="18" xfId="0" applyFont="1" applyFill="1" applyBorder="1"/>
    <xf numFmtId="0" fontId="4" fillId="0" borderId="39" xfId="0" applyFont="1" applyBorder="1"/>
    <xf numFmtId="0" fontId="4" fillId="3" borderId="40" xfId="0" applyFont="1" applyFill="1" applyBorder="1"/>
    <xf numFmtId="0" fontId="4" fillId="0" borderId="41" xfId="0" applyFont="1" applyBorder="1"/>
    <xf numFmtId="0" fontId="4" fillId="3" borderId="42" xfId="0" applyFont="1" applyFill="1" applyBorder="1"/>
    <xf numFmtId="0" fontId="4" fillId="0" borderId="32" xfId="0" applyFont="1" applyBorder="1"/>
    <xf numFmtId="0" fontId="4" fillId="0" borderId="33" xfId="0" applyFont="1" applyBorder="1"/>
    <xf numFmtId="0" fontId="6" fillId="0" borderId="40" xfId="0" applyFont="1" applyBorder="1"/>
    <xf numFmtId="9" fontId="6" fillId="0" borderId="40" xfId="0" applyNumberFormat="1" applyFont="1" applyBorder="1"/>
    <xf numFmtId="0" fontId="6" fillId="0" borderId="32" xfId="0" applyFont="1" applyFill="1" applyBorder="1" applyAlignment="1">
      <alignment horizontal="left" vertical="center"/>
    </xf>
    <xf numFmtId="0" fontId="4" fillId="0" borderId="0" xfId="0" applyFont="1" applyBorder="1"/>
    <xf numFmtId="9" fontId="4" fillId="0" borderId="21" xfId="2" applyFont="1" applyBorder="1"/>
    <xf numFmtId="9" fontId="4" fillId="0" borderId="1" xfId="2" applyFont="1" applyBorder="1" applyAlignment="1">
      <alignment horizontal="center"/>
    </xf>
    <xf numFmtId="9" fontId="4" fillId="0" borderId="18" xfId="2" applyFont="1" applyBorder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10" fontId="4" fillId="3" borderId="10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0" fontId="4" fillId="3" borderId="18" xfId="0" applyNumberFormat="1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22" xfId="0" applyFont="1" applyFill="1" applyBorder="1" applyAlignment="1">
      <alignment horizontal="left" vertical="center"/>
    </xf>
    <xf numFmtId="10" fontId="4" fillId="3" borderId="3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3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10" fontId="4" fillId="0" borderId="25" xfId="0" applyNumberFormat="1" applyFont="1" applyFill="1" applyBorder="1" applyAlignment="1">
      <alignment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/>
    </xf>
    <xf numFmtId="10" fontId="6" fillId="5" borderId="7" xfId="0" applyNumberFormat="1" applyFont="1" applyFill="1" applyBorder="1" applyAlignment="1">
      <alignment horizontal="center" vertical="center" wrapText="1"/>
    </xf>
    <xf numFmtId="10" fontId="4" fillId="0" borderId="21" xfId="2" applyNumberFormat="1" applyFont="1" applyBorder="1" applyAlignment="1">
      <alignment horizontal="right"/>
    </xf>
    <xf numFmtId="10" fontId="4" fillId="0" borderId="1" xfId="2" applyNumberFormat="1" applyFont="1" applyBorder="1" applyAlignment="1">
      <alignment horizontal="right"/>
    </xf>
    <xf numFmtId="10" fontId="4" fillId="0" borderId="18" xfId="2" applyNumberFormat="1" applyFont="1" applyBorder="1" applyAlignment="1">
      <alignment horizontal="right"/>
    </xf>
    <xf numFmtId="10" fontId="4" fillId="0" borderId="22" xfId="2" applyNumberFormat="1" applyFont="1" applyBorder="1" applyAlignment="1">
      <alignment horizontal="right"/>
    </xf>
    <xf numFmtId="10" fontId="4" fillId="0" borderId="30" xfId="2" applyNumberFormat="1" applyFont="1" applyBorder="1" applyAlignment="1">
      <alignment horizontal="right"/>
    </xf>
    <xf numFmtId="10" fontId="4" fillId="0" borderId="31" xfId="2" applyNumberFormat="1" applyFont="1" applyBorder="1" applyAlignment="1">
      <alignment horizontal="right"/>
    </xf>
    <xf numFmtId="0" fontId="5" fillId="0" borderId="46" xfId="0" applyFont="1" applyBorder="1"/>
    <xf numFmtId="0" fontId="16" fillId="0" borderId="46" xfId="0" applyFont="1" applyBorder="1" applyAlignment="1">
      <alignment horizontal="justify"/>
    </xf>
    <xf numFmtId="0" fontId="16" fillId="0" borderId="47" xfId="0" applyFont="1" applyBorder="1" applyAlignment="1">
      <alignment horizontal="justify"/>
    </xf>
    <xf numFmtId="0" fontId="13" fillId="9" borderId="45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1" fillId="0" borderId="0" xfId="0" applyFont="1"/>
    <xf numFmtId="166" fontId="14" fillId="0" borderId="40" xfId="0" applyNumberFormat="1" applyFont="1" applyBorder="1"/>
    <xf numFmtId="166" fontId="6" fillId="0" borderId="40" xfId="0" applyNumberFormat="1" applyFont="1" applyBorder="1"/>
    <xf numFmtId="166" fontId="6" fillId="0" borderId="29" xfId="0" applyNumberFormat="1" applyFont="1" applyBorder="1"/>
    <xf numFmtId="4" fontId="1" fillId="0" borderId="0" xfId="0" applyNumberFormat="1" applyFont="1" applyBorder="1" applyAlignment="1">
      <alignment vertical="center"/>
    </xf>
    <xf numFmtId="0" fontId="1" fillId="0" borderId="0" xfId="0" applyFont="1" applyFill="1"/>
    <xf numFmtId="0" fontId="6" fillId="0" borderId="21" xfId="0" applyFont="1" applyBorder="1"/>
    <xf numFmtId="0" fontId="6" fillId="0" borderId="1" xfId="0" applyFont="1" applyBorder="1"/>
    <xf numFmtId="0" fontId="6" fillId="0" borderId="18" xfId="0" applyFont="1" applyBorder="1"/>
    <xf numFmtId="0" fontId="4" fillId="0" borderId="21" xfId="0" applyFont="1" applyFill="1" applyBorder="1"/>
    <xf numFmtId="0" fontId="4" fillId="0" borderId="1" xfId="0" applyFont="1" applyFill="1" applyBorder="1"/>
    <xf numFmtId="0" fontId="4" fillId="0" borderId="1" xfId="0" applyFont="1" applyBorder="1"/>
    <xf numFmtId="167" fontId="20" fillId="0" borderId="18" xfId="3" applyNumberFormat="1" applyFont="1" applyBorder="1" applyAlignment="1">
      <alignment horizontal="center" vertical="center" wrapText="1"/>
    </xf>
    <xf numFmtId="168" fontId="4" fillId="0" borderId="18" xfId="0" applyNumberFormat="1" applyFont="1" applyBorder="1"/>
    <xf numFmtId="2" fontId="4" fillId="0" borderId="18" xfId="0" applyNumberFormat="1" applyFont="1" applyBorder="1"/>
    <xf numFmtId="0" fontId="4" fillId="0" borderId="22" xfId="0" applyFont="1" applyFill="1" applyBorder="1"/>
    <xf numFmtId="0" fontId="4" fillId="0" borderId="30" xfId="0" applyFont="1" applyBorder="1"/>
    <xf numFmtId="168" fontId="4" fillId="3" borderId="18" xfId="0" applyNumberFormat="1" applyFont="1" applyFill="1" applyBorder="1"/>
    <xf numFmtId="168" fontId="4" fillId="0" borderId="31" xfId="0" applyNumberFormat="1" applyFont="1" applyBorder="1"/>
    <xf numFmtId="0" fontId="13" fillId="0" borderId="1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169" fontId="4" fillId="3" borderId="18" xfId="0" applyNumberFormat="1" applyFont="1" applyFill="1" applyBorder="1"/>
    <xf numFmtId="0" fontId="4" fillId="0" borderId="30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5" fillId="4" borderId="2" xfId="3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4" borderId="1" xfId="3" applyFont="1" applyFill="1" applyBorder="1" applyAlignment="1">
      <alignment horizontal="center" vertical="center"/>
    </xf>
    <xf numFmtId="13" fontId="5" fillId="4" borderId="1" xfId="0" applyNumberFormat="1" applyFont="1" applyFill="1" applyBorder="1" applyAlignment="1">
      <alignment horizontal="center" vertical="center"/>
    </xf>
    <xf numFmtId="164" fontId="2" fillId="2" borderId="4" xfId="3" applyNumberFormat="1" applyFont="1" applyFill="1" applyBorder="1" applyAlignment="1">
      <alignment vertical="center"/>
    </xf>
    <xf numFmtId="164" fontId="1" fillId="0" borderId="0" xfId="3" applyFont="1" applyAlignment="1">
      <alignment vertical="center"/>
    </xf>
    <xf numFmtId="170" fontId="5" fillId="0" borderId="1" xfId="3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3" applyFont="1" applyBorder="1" applyAlignment="1">
      <alignment horizontal="center" vertical="center"/>
    </xf>
    <xf numFmtId="170" fontId="5" fillId="0" borderId="0" xfId="3" applyNumberFormat="1" applyFont="1" applyBorder="1" applyAlignment="1">
      <alignment vertical="center"/>
    </xf>
    <xf numFmtId="164" fontId="1" fillId="4" borderId="1" xfId="3" applyFont="1" applyFill="1" applyBorder="1" applyAlignment="1">
      <alignment horizontal="center" vertical="center"/>
    </xf>
    <xf numFmtId="164" fontId="1" fillId="0" borderId="17" xfId="3" applyFont="1" applyBorder="1" applyAlignment="1">
      <alignment vertical="center"/>
    </xf>
    <xf numFmtId="164" fontId="2" fillId="8" borderId="0" xfId="3" applyFont="1" applyFill="1" applyAlignment="1">
      <alignment vertical="center"/>
    </xf>
    <xf numFmtId="164" fontId="5" fillId="8" borderId="0" xfId="3" applyFont="1" applyFill="1" applyAlignment="1">
      <alignment vertical="center"/>
    </xf>
    <xf numFmtId="164" fontId="2" fillId="4" borderId="4" xfId="3" applyFont="1" applyFill="1" applyBorder="1" applyAlignment="1">
      <alignment horizontal="center" vertical="center"/>
    </xf>
    <xf numFmtId="164" fontId="2" fillId="4" borderId="0" xfId="3" applyFont="1" applyFill="1" applyBorder="1" applyAlignment="1">
      <alignment horizontal="center" vertical="center"/>
    </xf>
    <xf numFmtId="164" fontId="26" fillId="2" borderId="7" xfId="3" applyFont="1" applyFill="1" applyBorder="1" applyAlignment="1">
      <alignment horizontal="center" vertical="center"/>
    </xf>
    <xf numFmtId="164" fontId="3" fillId="2" borderId="16" xfId="3" applyFont="1" applyFill="1" applyBorder="1" applyAlignment="1">
      <alignment horizontal="center" vertical="center"/>
    </xf>
    <xf numFmtId="164" fontId="5" fillId="4" borderId="0" xfId="3" applyFont="1" applyFill="1" applyAlignment="1">
      <alignment vertical="center"/>
    </xf>
    <xf numFmtId="164" fontId="2" fillId="4" borderId="0" xfId="3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4" borderId="0" xfId="3" applyFont="1" applyFill="1" applyBorder="1" applyAlignment="1">
      <alignment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164" fontId="9" fillId="4" borderId="15" xfId="3" applyFont="1" applyFill="1" applyBorder="1" applyAlignment="1">
      <alignment horizontal="center" vertical="center"/>
    </xf>
    <xf numFmtId="164" fontId="9" fillId="4" borderId="16" xfId="3" applyFont="1" applyFill="1" applyBorder="1" applyAlignment="1">
      <alignment horizontal="center" vertical="center"/>
    </xf>
    <xf numFmtId="164" fontId="2" fillId="4" borderId="4" xfId="3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64" fontId="2" fillId="4" borderId="0" xfId="3" applyFont="1" applyFill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3" applyNumberFormat="1" applyFont="1" applyFill="1" applyBorder="1" applyAlignment="1">
      <alignment vertical="center"/>
    </xf>
    <xf numFmtId="164" fontId="2" fillId="4" borderId="1" xfId="3" applyNumberFormat="1" applyFont="1" applyFill="1" applyBorder="1" applyAlignment="1">
      <alignment horizontal="center" vertical="center"/>
    </xf>
    <xf numFmtId="164" fontId="2" fillId="4" borderId="1" xfId="3" applyFont="1" applyFill="1" applyBorder="1" applyAlignment="1">
      <alignment vertical="center"/>
    </xf>
    <xf numFmtId="164" fontId="2" fillId="4" borderId="0" xfId="3" applyFont="1" applyFill="1" applyAlignment="1">
      <alignment horizontal="right" vertical="center"/>
    </xf>
    <xf numFmtId="170" fontId="2" fillId="4" borderId="1" xfId="3" applyNumberFormat="1" applyFont="1" applyFill="1" applyBorder="1" applyAlignment="1">
      <alignment vertical="center"/>
    </xf>
    <xf numFmtId="0" fontId="21" fillId="0" borderId="0" xfId="0" applyFont="1" applyAlignment="1">
      <alignment wrapText="1"/>
    </xf>
    <xf numFmtId="0" fontId="27" fillId="0" borderId="0" xfId="0" applyFont="1" applyAlignment="1"/>
    <xf numFmtId="0" fontId="27" fillId="0" borderId="0" xfId="0" applyFont="1" applyBorder="1" applyAlignment="1">
      <alignment vertical="center"/>
    </xf>
    <xf numFmtId="10" fontId="27" fillId="0" borderId="0" xfId="0" applyNumberFormat="1" applyFont="1" applyBorder="1" applyAlignment="1">
      <alignment vertical="center"/>
    </xf>
    <xf numFmtId="0" fontId="31" fillId="0" borderId="48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right" vertical="center" wrapText="1"/>
    </xf>
    <xf numFmtId="10" fontId="30" fillId="0" borderId="48" xfId="0" applyNumberFormat="1" applyFont="1" applyBorder="1" applyAlignment="1">
      <alignment horizontal="right" vertical="center" wrapText="1"/>
    </xf>
    <xf numFmtId="0" fontId="31" fillId="0" borderId="48" xfId="0" applyFont="1" applyBorder="1" applyAlignment="1">
      <alignment horizontal="left" vertical="center" wrapText="1"/>
    </xf>
    <xf numFmtId="10" fontId="31" fillId="0" borderId="48" xfId="0" applyNumberFormat="1" applyFont="1" applyBorder="1" applyAlignment="1">
      <alignment horizontal="right" vertical="center" wrapText="1"/>
    </xf>
    <xf numFmtId="0" fontId="33" fillId="10" borderId="48" xfId="0" applyFont="1" applyFill="1" applyBorder="1" applyAlignment="1">
      <alignment horizontal="center" vertical="center" wrapText="1"/>
    </xf>
    <xf numFmtId="0" fontId="29" fillId="10" borderId="48" xfId="0" applyFont="1" applyFill="1" applyBorder="1" applyAlignment="1">
      <alignment horizontal="center" vertical="center" wrapText="1"/>
    </xf>
    <xf numFmtId="0" fontId="29" fillId="10" borderId="48" xfId="0" applyFont="1" applyFill="1" applyBorder="1" applyAlignment="1">
      <alignment horizontal="left" vertical="center" wrapText="1"/>
    </xf>
    <xf numFmtId="0" fontId="29" fillId="10" borderId="48" xfId="0" applyFont="1" applyFill="1" applyBorder="1" applyAlignment="1">
      <alignment horizontal="right" vertical="center" wrapText="1"/>
    </xf>
    <xf numFmtId="10" fontId="29" fillId="10" borderId="48" xfId="0" applyNumberFormat="1" applyFont="1" applyFill="1" applyBorder="1" applyAlignment="1">
      <alignment horizontal="right" vertical="center" wrapText="1"/>
    </xf>
    <xf numFmtId="0" fontId="33" fillId="10" borderId="48" xfId="0" applyFont="1" applyFill="1" applyBorder="1" applyAlignment="1">
      <alignment horizontal="left" vertical="center" wrapText="1"/>
    </xf>
    <xf numFmtId="10" fontId="33" fillId="10" borderId="48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3" fillId="7" borderId="23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center" vertical="center"/>
    </xf>
    <xf numFmtId="0" fontId="6" fillId="7" borderId="34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164" fontId="2" fillId="0" borderId="5" xfId="3" applyFont="1" applyBorder="1" applyAlignment="1">
      <alignment horizontal="center" vertical="center"/>
    </xf>
    <xf numFmtId="164" fontId="2" fillId="0" borderId="6" xfId="3" applyFont="1" applyBorder="1" applyAlignment="1">
      <alignment horizontal="center" vertical="center"/>
    </xf>
    <xf numFmtId="164" fontId="2" fillId="0" borderId="35" xfId="3" applyFont="1" applyBorder="1" applyAlignment="1">
      <alignment horizontal="center" vertical="center"/>
    </xf>
    <xf numFmtId="164" fontId="3" fillId="7" borderId="5" xfId="3" applyFont="1" applyFill="1" applyBorder="1" applyAlignment="1">
      <alignment horizontal="center" vertical="center"/>
    </xf>
    <xf numFmtId="164" fontId="3" fillId="7" borderId="6" xfId="3" applyFont="1" applyFill="1" applyBorder="1" applyAlignment="1">
      <alignment horizontal="center" vertical="center"/>
    </xf>
    <xf numFmtId="164" fontId="3" fillId="7" borderId="7" xfId="3" applyFont="1" applyFill="1" applyBorder="1" applyAlignment="1">
      <alignment horizontal="center" vertical="center"/>
    </xf>
    <xf numFmtId="4" fontId="3" fillId="0" borderId="27" xfId="0" applyNumberFormat="1" applyFont="1" applyBorder="1" applyAlignment="1">
      <alignment horizontal="center" vertical="center"/>
    </xf>
    <xf numFmtId="4" fontId="5" fillId="0" borderId="27" xfId="0" applyNumberFormat="1" applyFont="1" applyBorder="1" applyAlignment="1">
      <alignment horizontal="center" vertical="center"/>
    </xf>
    <xf numFmtId="0" fontId="33" fillId="10" borderId="49" xfId="0" applyFont="1" applyFill="1" applyBorder="1" applyAlignment="1">
      <alignment horizontal="center" vertical="center" wrapText="1"/>
    </xf>
    <xf numFmtId="0" fontId="33" fillId="10" borderId="50" xfId="0" applyFont="1" applyFill="1" applyBorder="1" applyAlignment="1">
      <alignment horizontal="center" vertical="center" wrapText="1"/>
    </xf>
    <xf numFmtId="0" fontId="33" fillId="10" borderId="51" xfId="0" applyFont="1" applyFill="1" applyBorder="1" applyAlignment="1">
      <alignment horizontal="center" vertical="center" wrapText="1"/>
    </xf>
    <xf numFmtId="0" fontId="29" fillId="10" borderId="49" xfId="0" applyFont="1" applyFill="1" applyBorder="1" applyAlignment="1">
      <alignment horizontal="center" vertical="center" wrapText="1"/>
    </xf>
    <xf numFmtId="0" fontId="29" fillId="10" borderId="50" xfId="0" applyFont="1" applyFill="1" applyBorder="1" applyAlignment="1">
      <alignment horizontal="center" vertical="center" wrapText="1"/>
    </xf>
    <xf numFmtId="0" fontId="29" fillId="10" borderId="51" xfId="0" applyFont="1" applyFill="1" applyBorder="1" applyAlignment="1">
      <alignment horizontal="center" vertical="center" wrapText="1"/>
    </xf>
    <xf numFmtId="0" fontId="29" fillId="10" borderId="49" xfId="0" applyFont="1" applyFill="1" applyBorder="1" applyAlignment="1">
      <alignment vertical="center" wrapText="1"/>
    </xf>
    <xf numFmtId="0" fontId="29" fillId="10" borderId="50" xfId="0" applyFont="1" applyFill="1" applyBorder="1" applyAlignment="1">
      <alignment vertical="center" wrapText="1"/>
    </xf>
    <xf numFmtId="0" fontId="29" fillId="10" borderId="51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34" fillId="0" borderId="0" xfId="0" applyFont="1" applyAlignment="1">
      <alignment horizontal="center" wrapText="1"/>
    </xf>
    <xf numFmtId="0" fontId="30" fillId="0" borderId="49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0" fillId="0" borderId="49" xfId="0" applyFont="1" applyBorder="1" applyAlignment="1">
      <alignment vertical="center" wrapText="1"/>
    </xf>
    <xf numFmtId="0" fontId="30" fillId="0" borderId="50" xfId="0" applyFont="1" applyBorder="1" applyAlignment="1">
      <alignment vertical="center" wrapText="1"/>
    </xf>
    <xf numFmtId="0" fontId="30" fillId="0" borderId="51" xfId="0" applyFont="1" applyBorder="1" applyAlignment="1">
      <alignment vertical="center" wrapText="1"/>
    </xf>
    <xf numFmtId="0" fontId="33" fillId="0" borderId="0" xfId="0" applyFont="1" applyAlignment="1">
      <alignment horizontal="center" wrapText="1"/>
    </xf>
    <xf numFmtId="4" fontId="1" fillId="0" borderId="0" xfId="0" applyNumberFormat="1" applyFont="1" applyBorder="1" applyAlignment="1">
      <alignment horizontal="center" vertical="center"/>
    </xf>
    <xf numFmtId="0" fontId="27" fillId="0" borderId="0" xfId="0" applyFont="1" applyAlignment="1">
      <alignment wrapText="1"/>
    </xf>
    <xf numFmtId="0" fontId="13" fillId="9" borderId="17" xfId="0" applyFont="1" applyFill="1" applyBorder="1" applyAlignment="1">
      <alignment horizontal="center"/>
    </xf>
    <xf numFmtId="0" fontId="13" fillId="9" borderId="38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9" fontId="6" fillId="0" borderId="19" xfId="2" applyFont="1" applyBorder="1" applyAlignment="1">
      <alignment horizontal="center"/>
    </xf>
    <xf numFmtId="9" fontId="6" fillId="0" borderId="20" xfId="2" applyFont="1" applyBorder="1" applyAlignment="1">
      <alignment horizontal="center"/>
    </xf>
    <xf numFmtId="9" fontId="6" fillId="0" borderId="10" xfId="2" applyFont="1" applyBorder="1" applyAlignment="1">
      <alignment horizontal="center"/>
    </xf>
    <xf numFmtId="0" fontId="3" fillId="9" borderId="23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0" fontId="3" fillId="9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13" fillId="9" borderId="19" xfId="0" applyFont="1" applyFill="1" applyBorder="1" applyAlignment="1">
      <alignment horizontal="center"/>
    </xf>
    <xf numFmtId="0" fontId="13" fillId="9" borderId="20" xfId="0" applyFont="1" applyFill="1" applyBorder="1" applyAlignment="1">
      <alignment horizontal="center"/>
    </xf>
    <xf numFmtId="0" fontId="13" fillId="9" borderId="10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27"/>
  <sheetViews>
    <sheetView tabSelected="1" view="pageBreakPreview" zoomScaleNormal="100" zoomScaleSheetLayoutView="100" workbookViewId="0">
      <selection activeCell="B14" sqref="B14"/>
    </sheetView>
  </sheetViews>
  <sheetFormatPr defaultRowHeight="12.75" x14ac:dyDescent="0.2"/>
  <cols>
    <col min="1" max="1" width="44.5703125" style="6" customWidth="1"/>
    <col min="2" max="2" width="16" style="6" bestFit="1" customWidth="1"/>
    <col min="3" max="3" width="11.85546875" style="6" customWidth="1"/>
    <col min="4" max="4" width="14.7109375" style="7" customWidth="1"/>
    <col min="5" max="6" width="17.7109375" style="7" customWidth="1"/>
    <col min="7" max="7" width="28.140625" style="7" customWidth="1"/>
    <col min="8" max="8" width="9.140625" style="6"/>
    <col min="9" max="9" width="14.5703125" style="6" customWidth="1"/>
    <col min="10" max="10" width="13.42578125" style="6" customWidth="1"/>
    <col min="11" max="16384" width="9.140625" style="6"/>
  </cols>
  <sheetData>
    <row r="1" spans="1:7" x14ac:dyDescent="0.2">
      <c r="A1" s="221" t="s">
        <v>115</v>
      </c>
      <c r="B1" s="221"/>
      <c r="C1" s="221"/>
      <c r="D1" s="221"/>
      <c r="E1" s="221"/>
      <c r="F1" s="221"/>
    </row>
    <row r="2" spans="1:7" ht="16.5" thickBot="1" x14ac:dyDescent="0.25">
      <c r="A2" s="234"/>
      <c r="B2" s="235"/>
      <c r="C2" s="235"/>
      <c r="D2" s="235"/>
      <c r="E2" s="235"/>
      <c r="F2" s="235"/>
    </row>
    <row r="3" spans="1:7" s="5" customFormat="1" ht="18" x14ac:dyDescent="0.2">
      <c r="A3" s="222" t="s">
        <v>127</v>
      </c>
      <c r="B3" s="223"/>
      <c r="C3" s="223"/>
      <c r="D3" s="223"/>
      <c r="E3" s="223"/>
      <c r="F3" s="224"/>
      <c r="G3" s="25"/>
    </row>
    <row r="4" spans="1:7" s="5" customFormat="1" ht="21.75" customHeight="1" thickBot="1" x14ac:dyDescent="0.25">
      <c r="A4" s="225" t="s">
        <v>152</v>
      </c>
      <c r="B4" s="226"/>
      <c r="C4" s="226"/>
      <c r="D4" s="226"/>
      <c r="E4" s="226"/>
      <c r="F4" s="227"/>
      <c r="G4" s="25"/>
    </row>
    <row r="5" spans="1:7" s="2" customFormat="1" ht="15" customHeight="1" thickBot="1" x14ac:dyDescent="0.25">
      <c r="A5" s="231" t="s">
        <v>28</v>
      </c>
      <c r="B5" s="232"/>
      <c r="C5" s="232"/>
      <c r="D5" s="232"/>
      <c r="E5" s="233"/>
      <c r="F5" s="7"/>
      <c r="G5" s="3"/>
    </row>
    <row r="6" spans="1:7" s="2" customFormat="1" ht="15" customHeight="1" thickBot="1" x14ac:dyDescent="0.25">
      <c r="A6" s="228" t="s">
        <v>8</v>
      </c>
      <c r="B6" s="229"/>
      <c r="C6" s="229"/>
      <c r="D6" s="230"/>
      <c r="E6" s="27" t="s">
        <v>9</v>
      </c>
      <c r="F6" s="7"/>
      <c r="G6" s="3"/>
    </row>
    <row r="7" spans="1:7" s="2" customFormat="1" ht="15" customHeight="1" x14ac:dyDescent="0.2">
      <c r="A7" s="178" t="s">
        <v>120</v>
      </c>
      <c r="B7" s="42"/>
      <c r="C7" s="42"/>
      <c r="D7" s="43"/>
      <c r="E7" s="44">
        <v>1</v>
      </c>
      <c r="F7" s="7"/>
      <c r="G7" s="3"/>
    </row>
    <row r="8" spans="1:7" s="2" customFormat="1" ht="15" customHeight="1" x14ac:dyDescent="0.2">
      <c r="A8" s="37"/>
      <c r="B8" s="36"/>
      <c r="C8" s="36"/>
      <c r="D8" s="45"/>
      <c r="E8" s="39"/>
      <c r="F8" s="7"/>
      <c r="G8" s="3"/>
    </row>
    <row r="9" spans="1:7" s="2" customFormat="1" ht="15" customHeight="1" thickBot="1" x14ac:dyDescent="0.25">
      <c r="A9" s="40" t="s">
        <v>14</v>
      </c>
      <c r="B9" s="41"/>
      <c r="C9" s="41"/>
      <c r="D9" s="46"/>
      <c r="E9" s="47">
        <f>SUM(E7:E8)</f>
        <v>1</v>
      </c>
      <c r="F9" s="7"/>
      <c r="G9" s="3"/>
    </row>
    <row r="10" spans="1:7" s="2" customFormat="1" ht="15" customHeight="1" x14ac:dyDescent="0.2">
      <c r="A10" s="58"/>
      <c r="B10" s="59"/>
      <c r="C10" s="31"/>
      <c r="D10" s="31"/>
      <c r="E10" s="60"/>
      <c r="F10" s="7"/>
      <c r="G10" s="3"/>
    </row>
    <row r="11" spans="1:7" ht="13.15" customHeight="1" x14ac:dyDescent="0.2">
      <c r="A11" s="8" t="s">
        <v>13</v>
      </c>
    </row>
    <row r="12" spans="1:7" ht="11.25" customHeight="1" x14ac:dyDescent="0.2"/>
    <row r="13" spans="1:7" ht="13.9" customHeight="1" thickBot="1" x14ac:dyDescent="0.25">
      <c r="A13" s="4" t="s">
        <v>121</v>
      </c>
    </row>
    <row r="14" spans="1:7" ht="13.9" customHeight="1" thickBot="1" x14ac:dyDescent="0.25">
      <c r="A14" s="32" t="s">
        <v>15</v>
      </c>
      <c r="B14" s="33" t="s">
        <v>42</v>
      </c>
      <c r="C14" s="33" t="s">
        <v>9</v>
      </c>
      <c r="D14" s="34" t="s">
        <v>75</v>
      </c>
      <c r="E14" s="34" t="s">
        <v>17</v>
      </c>
      <c r="F14" s="35" t="s">
        <v>18</v>
      </c>
    </row>
    <row r="15" spans="1:7" ht="13.15" customHeight="1" x14ac:dyDescent="0.2">
      <c r="A15" s="9" t="s">
        <v>65</v>
      </c>
      <c r="B15" s="10" t="s">
        <v>5</v>
      </c>
      <c r="C15" s="10">
        <v>1</v>
      </c>
      <c r="D15" s="166">
        <v>10462.469999999999</v>
      </c>
      <c r="E15" s="11">
        <f>C15*D15</f>
        <v>10462.469999999999</v>
      </c>
    </row>
    <row r="16" spans="1:7" x14ac:dyDescent="0.2">
      <c r="A16" s="12" t="s">
        <v>0</v>
      </c>
      <c r="B16" s="13" t="s">
        <v>1</v>
      </c>
      <c r="C16" s="13">
        <v>20</v>
      </c>
      <c r="D16" s="48">
        <f>SUM(E15:E15)</f>
        <v>10462.469999999999</v>
      </c>
      <c r="E16" s="14">
        <v>147.43</v>
      </c>
    </row>
    <row r="17" spans="1:7" x14ac:dyDescent="0.2">
      <c r="A17" s="51" t="s">
        <v>2</v>
      </c>
      <c r="B17" s="52"/>
      <c r="C17" s="52"/>
      <c r="D17" s="53"/>
      <c r="E17" s="54">
        <f>SUM(E15:E16)</f>
        <v>10609.9</v>
      </c>
    </row>
    <row r="18" spans="1:7" x14ac:dyDescent="0.2">
      <c r="A18" s="12" t="s">
        <v>3</v>
      </c>
      <c r="B18" s="13" t="s">
        <v>1</v>
      </c>
      <c r="C18" s="168">
        <f>'2.Encargos Sociais'!E30</f>
        <v>0.32819999999999999</v>
      </c>
      <c r="D18" s="14">
        <f>E17</f>
        <v>10609.9</v>
      </c>
      <c r="E18" s="14">
        <f>D18*C18/100</f>
        <v>34.821691799999996</v>
      </c>
    </row>
    <row r="19" spans="1:7" x14ac:dyDescent="0.2">
      <c r="A19" s="51" t="s">
        <v>122</v>
      </c>
      <c r="B19" s="52"/>
      <c r="C19" s="52"/>
      <c r="D19" s="53"/>
      <c r="E19" s="54">
        <f>E17+E18</f>
        <v>10644.721691799999</v>
      </c>
    </row>
    <row r="20" spans="1:7" ht="13.5" thickBot="1" x14ac:dyDescent="0.25">
      <c r="A20" s="12" t="s">
        <v>4</v>
      </c>
      <c r="B20" s="173" t="s">
        <v>123</v>
      </c>
      <c r="C20" s="167">
        <v>1</v>
      </c>
      <c r="D20" s="14">
        <f>E19</f>
        <v>10644.721691799999</v>
      </c>
      <c r="E20" s="14">
        <f>C20*D20</f>
        <v>10644.721691799999</v>
      </c>
      <c r="G20" s="3"/>
    </row>
    <row r="21" spans="1:7" ht="13.9" customHeight="1" thickBot="1" x14ac:dyDescent="0.25">
      <c r="D21" s="56" t="s">
        <v>55</v>
      </c>
      <c r="E21" s="172">
        <v>1</v>
      </c>
      <c r="F21" s="57">
        <f>E20*E21</f>
        <v>10644.721691799999</v>
      </c>
      <c r="G21" s="3"/>
    </row>
    <row r="22" spans="1:7" ht="11.25" customHeight="1" x14ac:dyDescent="0.2"/>
    <row r="23" spans="1:7" ht="11.25" customHeight="1" x14ac:dyDescent="0.2"/>
    <row r="24" spans="1:7" ht="13.5" thickBot="1" x14ac:dyDescent="0.25">
      <c r="A24" s="194"/>
      <c r="B24" s="194"/>
      <c r="C24" s="194"/>
      <c r="D24" s="195"/>
      <c r="E24" s="195"/>
      <c r="F24" s="188"/>
      <c r="G24" s="6"/>
    </row>
    <row r="25" spans="1:7" ht="13.5" thickBot="1" x14ac:dyDescent="0.25">
      <c r="A25" s="189"/>
      <c r="B25" s="190"/>
      <c r="C25" s="190"/>
      <c r="D25" s="191"/>
      <c r="E25" s="191"/>
      <c r="F25" s="192"/>
      <c r="G25" s="6"/>
    </row>
    <row r="26" spans="1:7" ht="13.5" thickBot="1" x14ac:dyDescent="0.25">
      <c r="A26" s="196"/>
      <c r="B26" s="197"/>
      <c r="C26" s="198"/>
      <c r="D26" s="199"/>
      <c r="E26" s="200"/>
      <c r="F26" s="188"/>
      <c r="G26" s="6"/>
    </row>
    <row r="27" spans="1:7" ht="13.5" thickBot="1" x14ac:dyDescent="0.25">
      <c r="A27" s="194"/>
      <c r="B27" s="194"/>
      <c r="C27" s="194"/>
      <c r="D27" s="201"/>
      <c r="E27" s="202"/>
      <c r="F27" s="193"/>
      <c r="G27" s="6"/>
    </row>
    <row r="28" spans="1:7" ht="13.5" thickBot="1" x14ac:dyDescent="0.25">
      <c r="G28" s="6"/>
    </row>
    <row r="29" spans="1:7" ht="13.5" thickBot="1" x14ac:dyDescent="0.25">
      <c r="A29" s="17" t="s">
        <v>27</v>
      </c>
      <c r="B29" s="18"/>
      <c r="C29" s="18"/>
      <c r="D29" s="19"/>
      <c r="E29" s="20"/>
      <c r="F29" s="16">
        <f>F21+F27</f>
        <v>10644.721691799999</v>
      </c>
      <c r="G29" s="6"/>
    </row>
    <row r="31" spans="1:7" x14ac:dyDescent="0.2">
      <c r="A31" s="8" t="s">
        <v>12</v>
      </c>
      <c r="G31" s="6"/>
    </row>
    <row r="32" spans="1:7" ht="11.25" customHeight="1" x14ac:dyDescent="0.2">
      <c r="G32" s="6"/>
    </row>
    <row r="33" spans="1:7" ht="13.9" customHeight="1" x14ac:dyDescent="0.2">
      <c r="A33" s="4" t="s">
        <v>118</v>
      </c>
      <c r="G33" s="6"/>
    </row>
    <row r="34" spans="1:7" ht="11.25" customHeight="1" thickBot="1" x14ac:dyDescent="0.25">
      <c r="G34" s="6"/>
    </row>
    <row r="35" spans="1:7" ht="27.75" customHeight="1" thickBot="1" x14ac:dyDescent="0.25">
      <c r="A35" s="32" t="s">
        <v>15</v>
      </c>
      <c r="B35" s="33" t="s">
        <v>16</v>
      </c>
      <c r="C35" s="139" t="s">
        <v>85</v>
      </c>
      <c r="D35" s="34" t="s">
        <v>75</v>
      </c>
      <c r="E35" s="34" t="s">
        <v>17</v>
      </c>
      <c r="F35" s="35" t="s">
        <v>18</v>
      </c>
      <c r="G35" s="6"/>
    </row>
    <row r="36" spans="1:7" ht="13.15" customHeight="1" x14ac:dyDescent="0.2">
      <c r="A36" s="165" t="s">
        <v>124</v>
      </c>
      <c r="B36" s="13" t="s">
        <v>6</v>
      </c>
      <c r="C36" s="169">
        <v>1</v>
      </c>
      <c r="D36" s="166">
        <v>150</v>
      </c>
      <c r="E36" s="11">
        <f>C36*D36</f>
        <v>150</v>
      </c>
      <c r="G36" s="6"/>
    </row>
    <row r="37" spans="1:7" x14ac:dyDescent="0.2">
      <c r="A37" s="165"/>
      <c r="B37" s="173"/>
      <c r="C37" s="169"/>
      <c r="D37" s="166"/>
      <c r="E37" s="11">
        <f>C37*D37</f>
        <v>0</v>
      </c>
      <c r="G37" s="6"/>
    </row>
    <row r="38" spans="1:7" ht="13.15" customHeight="1" x14ac:dyDescent="0.2">
      <c r="A38" s="165" t="s">
        <v>4</v>
      </c>
      <c r="B38" s="173" t="s">
        <v>123</v>
      </c>
      <c r="C38" s="38">
        <f>E7</f>
        <v>1</v>
      </c>
      <c r="D38" s="14">
        <f>+SUM(E36:E37)</f>
        <v>150</v>
      </c>
      <c r="E38" s="14">
        <f>C38*D38</f>
        <v>150</v>
      </c>
      <c r="G38" s="6"/>
    </row>
    <row r="39" spans="1:7" ht="13.9" customHeight="1" x14ac:dyDescent="0.2">
      <c r="D39" s="56" t="s">
        <v>55</v>
      </c>
      <c r="E39" s="172">
        <v>1</v>
      </c>
      <c r="F39" s="179">
        <f>E38*E39</f>
        <v>150</v>
      </c>
      <c r="G39" s="6"/>
    </row>
    <row r="40" spans="1:7" ht="13.15" customHeight="1" x14ac:dyDescent="0.2"/>
    <row r="41" spans="1:7" ht="13.15" customHeight="1" thickBot="1" x14ac:dyDescent="0.25"/>
    <row r="42" spans="1:7" ht="13.5" thickBot="1" x14ac:dyDescent="0.25">
      <c r="A42" s="17" t="s">
        <v>56</v>
      </c>
      <c r="B42" s="21"/>
      <c r="C42" s="21"/>
      <c r="D42" s="22"/>
      <c r="E42" s="23"/>
      <c r="F42" s="180">
        <f>F21+F27+F39</f>
        <v>10794.721691799999</v>
      </c>
    </row>
    <row r="44" spans="1:7" ht="13.5" thickBot="1" x14ac:dyDescent="0.25">
      <c r="A44" s="8" t="s">
        <v>119</v>
      </c>
      <c r="D44" s="56"/>
      <c r="E44" s="176"/>
      <c r="F44" s="171"/>
    </row>
    <row r="45" spans="1:7" ht="11.25" customHeight="1" thickBot="1" x14ac:dyDescent="0.25">
      <c r="A45" s="32" t="s">
        <v>15</v>
      </c>
      <c r="B45" s="33" t="s">
        <v>16</v>
      </c>
      <c r="C45" s="33" t="s">
        <v>9</v>
      </c>
      <c r="D45" s="34" t="s">
        <v>75</v>
      </c>
      <c r="E45" s="34" t="s">
        <v>17</v>
      </c>
      <c r="F45" s="181"/>
    </row>
    <row r="46" spans="1:7" ht="11.25" customHeight="1" thickBot="1" x14ac:dyDescent="0.25">
      <c r="A46" s="164" t="s">
        <v>128</v>
      </c>
      <c r="B46" s="174" t="s">
        <v>26</v>
      </c>
      <c r="C46" s="177">
        <v>20</v>
      </c>
      <c r="D46" s="175">
        <v>7</v>
      </c>
      <c r="E46" s="175">
        <f>C46*D46</f>
        <v>140</v>
      </c>
      <c r="G46" s="6"/>
    </row>
    <row r="47" spans="1:7" ht="12" customHeight="1" thickBot="1" x14ac:dyDescent="0.25">
      <c r="D47" s="56" t="s">
        <v>55</v>
      </c>
      <c r="E47" s="172">
        <v>4</v>
      </c>
      <c r="F47" s="57">
        <f>E46*E47</f>
        <v>560</v>
      </c>
      <c r="G47" s="6"/>
    </row>
    <row r="48" spans="1:7" ht="14.25" customHeight="1" thickBot="1" x14ac:dyDescent="0.25">
      <c r="F48" s="182"/>
      <c r="G48" s="6"/>
    </row>
    <row r="49" spans="1:10" ht="13.5" thickBot="1" x14ac:dyDescent="0.25">
      <c r="A49" s="17" t="s">
        <v>66</v>
      </c>
      <c r="B49" s="21"/>
      <c r="C49" s="21"/>
      <c r="D49" s="22"/>
      <c r="E49" s="23"/>
      <c r="F49" s="182"/>
      <c r="G49" s="6"/>
    </row>
    <row r="50" spans="1:10" ht="9.75" customHeight="1" thickBot="1" x14ac:dyDescent="0.25">
      <c r="F50" s="35" t="s">
        <v>18</v>
      </c>
      <c r="G50" s="6"/>
    </row>
    <row r="51" spans="1:10" ht="16.5" thickBot="1" x14ac:dyDescent="0.25">
      <c r="A51" s="8" t="s">
        <v>116</v>
      </c>
      <c r="F51" s="184">
        <f>F29+F39+F47</f>
        <v>11354.721691799999</v>
      </c>
      <c r="G51" s="6"/>
    </row>
    <row r="52" spans="1:10" ht="13.5" thickBot="1" x14ac:dyDescent="0.25">
      <c r="F52" s="183"/>
      <c r="G52" s="6"/>
    </row>
    <row r="53" spans="1:10" ht="13.5" thickBot="1" x14ac:dyDescent="0.25">
      <c r="A53" s="32" t="s">
        <v>15</v>
      </c>
      <c r="B53" s="33" t="s">
        <v>16</v>
      </c>
      <c r="C53" s="33" t="s">
        <v>9</v>
      </c>
      <c r="D53" s="34" t="s">
        <v>75</v>
      </c>
      <c r="E53" s="34" t="s">
        <v>17</v>
      </c>
      <c r="G53" s="6"/>
    </row>
    <row r="54" spans="1:10" ht="13.5" thickBot="1" x14ac:dyDescent="0.25">
      <c r="A54" s="9" t="s">
        <v>7</v>
      </c>
      <c r="B54" s="10" t="s">
        <v>1</v>
      </c>
      <c r="C54" s="168">
        <f>'4.BDI'!C15</f>
        <v>0.40429999999999999</v>
      </c>
      <c r="D54" s="11">
        <f>+F51</f>
        <v>11354.721691799999</v>
      </c>
      <c r="E54" s="11">
        <f>D54*C54</f>
        <v>4590.7139799947399</v>
      </c>
      <c r="F54" s="170">
        <f>+E54</f>
        <v>4590.7139799947399</v>
      </c>
      <c r="G54" s="6"/>
    </row>
    <row r="55" spans="1:10" ht="7.5" customHeight="1" thickBot="1" x14ac:dyDescent="0.25">
      <c r="G55" s="6"/>
    </row>
    <row r="56" spans="1:10" ht="11.25" customHeight="1" thickBot="1" x14ac:dyDescent="0.25">
      <c r="F56" s="35" t="s">
        <v>18</v>
      </c>
      <c r="I56" s="49"/>
      <c r="J56" s="49"/>
    </row>
    <row r="57" spans="1:10" ht="11.25" customHeight="1" thickBot="1" x14ac:dyDescent="0.25">
      <c r="A57" s="17" t="s">
        <v>76</v>
      </c>
      <c r="B57" s="21"/>
      <c r="C57" s="21"/>
      <c r="D57" s="22"/>
      <c r="E57" s="23"/>
      <c r="F57" s="7">
        <f>F54</f>
        <v>4590.7139799947399</v>
      </c>
      <c r="I57" s="49"/>
      <c r="J57" s="49"/>
    </row>
    <row r="58" spans="1:10" ht="13.5" thickBot="1" x14ac:dyDescent="0.25">
      <c r="I58" s="49"/>
      <c r="J58" s="49"/>
    </row>
    <row r="59" spans="1:10" ht="13.5" thickBot="1" x14ac:dyDescent="0.25">
      <c r="A59" s="17" t="s">
        <v>67</v>
      </c>
      <c r="B59" s="21"/>
      <c r="C59" s="21"/>
      <c r="D59" s="22"/>
      <c r="E59" s="23"/>
      <c r="F59" s="15">
        <f>F51+F57</f>
        <v>15945.435671794739</v>
      </c>
      <c r="I59" s="49"/>
      <c r="J59" s="49"/>
    </row>
    <row r="60" spans="1:10" x14ac:dyDescent="0.2">
      <c r="A60" s="24"/>
      <c r="B60" s="28"/>
      <c r="C60" s="28"/>
      <c r="D60" s="31"/>
      <c r="E60" s="31"/>
      <c r="I60" s="49"/>
      <c r="J60" s="49"/>
    </row>
    <row r="61" spans="1:10" x14ac:dyDescent="0.2">
      <c r="A61" s="24"/>
      <c r="B61" s="28"/>
      <c r="C61" s="28"/>
      <c r="D61" s="31"/>
      <c r="E61" s="31"/>
      <c r="F61" s="185"/>
      <c r="I61" s="49"/>
      <c r="J61" s="49"/>
    </row>
    <row r="62" spans="1:10" x14ac:dyDescent="0.2">
      <c r="A62" s="24" t="s">
        <v>129</v>
      </c>
      <c r="B62" s="28"/>
      <c r="C62" s="28"/>
      <c r="D62" s="31"/>
      <c r="E62" s="31"/>
      <c r="F62" s="186"/>
      <c r="I62" s="49"/>
      <c r="J62" s="49"/>
    </row>
    <row r="63" spans="1:10" ht="15.75" x14ac:dyDescent="0.2">
      <c r="A63" s="29"/>
      <c r="B63" s="29"/>
      <c r="C63" s="29"/>
      <c r="D63" s="30"/>
      <c r="E63" s="30"/>
      <c r="F63" s="171"/>
      <c r="I63" s="49"/>
      <c r="J63" s="49"/>
    </row>
    <row r="64" spans="1:10" ht="15.75" x14ac:dyDescent="0.2">
      <c r="A64" s="26"/>
      <c r="B64" s="171"/>
      <c r="C64" s="171"/>
      <c r="D64" s="171"/>
      <c r="E64" s="171"/>
      <c r="I64" s="49"/>
      <c r="J64" s="49"/>
    </row>
    <row r="65" spans="7:10" x14ac:dyDescent="0.2">
      <c r="I65" s="49"/>
      <c r="J65" s="49"/>
    </row>
    <row r="66" spans="7:10" x14ac:dyDescent="0.2">
      <c r="I66" s="49"/>
      <c r="J66" s="49"/>
    </row>
    <row r="67" spans="7:10" x14ac:dyDescent="0.2">
      <c r="I67" s="49"/>
      <c r="J67" s="49"/>
    </row>
    <row r="68" spans="7:10" ht="11.25" customHeight="1" x14ac:dyDescent="0.2">
      <c r="I68" s="49"/>
      <c r="J68" s="49"/>
    </row>
    <row r="69" spans="7:10" ht="11.25" customHeight="1" x14ac:dyDescent="0.2">
      <c r="I69" s="49"/>
      <c r="J69" s="49"/>
    </row>
    <row r="70" spans="7:10" ht="11.25" customHeight="1" x14ac:dyDescent="0.2">
      <c r="I70" s="49"/>
      <c r="J70" s="49"/>
    </row>
    <row r="71" spans="7:10" ht="11.25" customHeight="1" x14ac:dyDescent="0.2">
      <c r="I71" s="49"/>
      <c r="J71" s="49"/>
    </row>
    <row r="72" spans="7:10" ht="11.25" customHeight="1" x14ac:dyDescent="0.2">
      <c r="I72" s="49"/>
      <c r="J72" s="49"/>
    </row>
    <row r="73" spans="7:10" ht="11.25" customHeight="1" x14ac:dyDescent="0.2">
      <c r="I73" s="49"/>
      <c r="J73" s="49"/>
    </row>
    <row r="74" spans="7:10" x14ac:dyDescent="0.2">
      <c r="I74" s="49"/>
      <c r="J74" s="49"/>
    </row>
    <row r="75" spans="7:10" ht="11.25" customHeight="1" x14ac:dyDescent="0.2">
      <c r="I75" s="49"/>
      <c r="J75" s="49"/>
    </row>
    <row r="76" spans="7:10" x14ac:dyDescent="0.2">
      <c r="G76" s="6"/>
    </row>
    <row r="77" spans="7:10" x14ac:dyDescent="0.2">
      <c r="G77" s="6"/>
    </row>
    <row r="78" spans="7:10" x14ac:dyDescent="0.2">
      <c r="G78" s="6"/>
    </row>
    <row r="79" spans="7:10" x14ac:dyDescent="0.2">
      <c r="G79" s="6"/>
    </row>
    <row r="80" spans="7:10" x14ac:dyDescent="0.2">
      <c r="G80" s="6"/>
    </row>
    <row r="81" spans="4:7" x14ac:dyDescent="0.2">
      <c r="G81" s="6"/>
    </row>
    <row r="82" spans="4:7" ht="11.25" customHeight="1" x14ac:dyDescent="0.2">
      <c r="G82" s="6"/>
    </row>
    <row r="83" spans="4:7" ht="17.25" customHeight="1" x14ac:dyDescent="0.2"/>
    <row r="84" spans="4:7" ht="11.25" customHeight="1" x14ac:dyDescent="0.2"/>
    <row r="86" spans="4:7" ht="11.25" customHeight="1" x14ac:dyDescent="0.2"/>
    <row r="90" spans="4:7" ht="11.25" customHeight="1" x14ac:dyDescent="0.2"/>
    <row r="92" spans="4:7" ht="11.25" customHeight="1" x14ac:dyDescent="0.2">
      <c r="F92" s="6"/>
    </row>
    <row r="93" spans="4:7" ht="24.75" customHeight="1" x14ac:dyDescent="0.2">
      <c r="D93" s="6"/>
      <c r="E93" s="6"/>
    </row>
    <row r="94" spans="4:7" ht="24.75" customHeight="1" x14ac:dyDescent="0.2"/>
    <row r="95" spans="4:7" ht="24.75" customHeight="1" x14ac:dyDescent="0.2"/>
    <row r="96" spans="4:7" ht="24.75" customHeight="1" x14ac:dyDescent="0.2"/>
    <row r="97" ht="12.6" customHeight="1" x14ac:dyDescent="0.2"/>
    <row r="127" spans="7:7" ht="9" customHeight="1" x14ac:dyDescent="0.2">
      <c r="G127" s="6"/>
    </row>
  </sheetData>
  <mergeCells count="6">
    <mergeCell ref="A1:F1"/>
    <mergeCell ref="A3:F3"/>
    <mergeCell ref="A4:F4"/>
    <mergeCell ref="A6:D6"/>
    <mergeCell ref="A5:E5"/>
    <mergeCell ref="A2:F2"/>
  </mergeCells>
  <phoneticPr fontId="8" type="noConversion"/>
  <pageMargins left="0.9055118110236221" right="0.51181102362204722" top="0.74803149606299213" bottom="0.74803149606299213" header="0.31496062992125984" footer="0.31496062992125984"/>
  <pageSetup paperSize="9" scale="72" fitToHeight="0" orientation="portrait" r:id="rId1"/>
  <headerFooter alignWithMargins="0">
    <oddFooter>&amp;R&amp;P de &amp;N</oddFooter>
  </headerFooter>
  <rowBreaks count="1" manualBreakCount="1">
    <brk id="6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93"/>
  <sheetViews>
    <sheetView view="pageBreakPreview" topLeftCell="A34" zoomScale="60" zoomScaleNormal="100" workbookViewId="0">
      <selection activeCell="E54" sqref="E54"/>
    </sheetView>
  </sheetViews>
  <sheetFormatPr defaultRowHeight="12.75" x14ac:dyDescent="0.2"/>
  <cols>
    <col min="1" max="1" width="44.5703125" style="6" customWidth="1"/>
    <col min="2" max="2" width="16" style="6" bestFit="1" customWidth="1"/>
    <col min="3" max="3" width="11.85546875" style="6" customWidth="1"/>
    <col min="4" max="4" width="14.7109375" style="7" customWidth="1"/>
    <col min="5" max="6" width="17.7109375" style="7" customWidth="1"/>
  </cols>
  <sheetData>
    <row r="1" spans="1:6" x14ac:dyDescent="0.2">
      <c r="A1" s="221" t="s">
        <v>115</v>
      </c>
      <c r="B1" s="221"/>
      <c r="C1" s="221"/>
      <c r="D1" s="221"/>
      <c r="E1" s="221"/>
      <c r="F1" s="221"/>
    </row>
    <row r="2" spans="1:6" ht="16.5" thickBot="1" x14ac:dyDescent="0.25">
      <c r="A2" s="234"/>
      <c r="B2" s="235"/>
      <c r="C2" s="235"/>
      <c r="D2" s="235"/>
      <c r="E2" s="235"/>
      <c r="F2" s="235"/>
    </row>
    <row r="3" spans="1:6" ht="18" x14ac:dyDescent="0.2">
      <c r="A3" s="222" t="s">
        <v>127</v>
      </c>
      <c r="B3" s="223"/>
      <c r="C3" s="223"/>
      <c r="D3" s="223"/>
      <c r="E3" s="223"/>
      <c r="F3" s="224"/>
    </row>
    <row r="4" spans="1:6" ht="15.75" thickBot="1" x14ac:dyDescent="0.25">
      <c r="A4" s="225" t="s">
        <v>157</v>
      </c>
      <c r="B4" s="226"/>
      <c r="C4" s="226"/>
      <c r="D4" s="226"/>
      <c r="E4" s="226"/>
      <c r="F4" s="227"/>
    </row>
    <row r="5" spans="1:6" ht="16.5" thickBot="1" x14ac:dyDescent="0.25">
      <c r="A5" s="231" t="s">
        <v>28</v>
      </c>
      <c r="B5" s="232"/>
      <c r="C5" s="232"/>
      <c r="D5" s="232"/>
      <c r="E5" s="233"/>
    </row>
    <row r="6" spans="1:6" ht="13.5" thickBot="1" x14ac:dyDescent="0.25">
      <c r="A6" s="228" t="s">
        <v>8</v>
      </c>
      <c r="B6" s="229"/>
      <c r="C6" s="229"/>
      <c r="D6" s="230"/>
      <c r="E6" s="27" t="s">
        <v>9</v>
      </c>
    </row>
    <row r="7" spans="1:6" x14ac:dyDescent="0.2">
      <c r="A7" s="178" t="s">
        <v>120</v>
      </c>
      <c r="B7" s="42"/>
      <c r="C7" s="42"/>
      <c r="D7" s="43"/>
      <c r="E7" s="44">
        <v>1</v>
      </c>
    </row>
    <row r="8" spans="1:6" x14ac:dyDescent="0.2">
      <c r="A8" s="37"/>
      <c r="B8" s="36"/>
      <c r="C8" s="36"/>
      <c r="D8" s="45"/>
      <c r="E8" s="39"/>
    </row>
    <row r="9" spans="1:6" ht="13.5" thickBot="1" x14ac:dyDescent="0.25">
      <c r="A9" s="40" t="s">
        <v>14</v>
      </c>
      <c r="B9" s="41"/>
      <c r="C9" s="41"/>
      <c r="D9" s="46"/>
      <c r="E9" s="47">
        <f>SUM(E7:E8)</f>
        <v>1</v>
      </c>
    </row>
    <row r="10" spans="1:6" x14ac:dyDescent="0.2">
      <c r="A10" s="58"/>
      <c r="B10" s="59"/>
      <c r="C10" s="31"/>
      <c r="D10" s="31"/>
      <c r="E10" s="60"/>
    </row>
    <row r="11" spans="1:6" x14ac:dyDescent="0.2">
      <c r="A11" s="8" t="s">
        <v>13</v>
      </c>
    </row>
    <row r="13" spans="1:6" ht="13.5" thickBot="1" x14ac:dyDescent="0.25">
      <c r="A13" s="4" t="s">
        <v>121</v>
      </c>
    </row>
    <row r="14" spans="1:6" ht="13.5" thickBot="1" x14ac:dyDescent="0.25">
      <c r="A14" s="32" t="s">
        <v>15</v>
      </c>
      <c r="B14" s="33" t="s">
        <v>16</v>
      </c>
      <c r="C14" s="33" t="s">
        <v>9</v>
      </c>
      <c r="D14" s="34" t="s">
        <v>75</v>
      </c>
      <c r="E14" s="34" t="s">
        <v>17</v>
      </c>
      <c r="F14" s="35" t="s">
        <v>18</v>
      </c>
    </row>
    <row r="15" spans="1:6" x14ac:dyDescent="0.2">
      <c r="A15" s="9" t="s">
        <v>65</v>
      </c>
      <c r="B15" s="10" t="s">
        <v>5</v>
      </c>
      <c r="C15" s="10">
        <v>1</v>
      </c>
      <c r="D15" s="166">
        <v>10462.469999999999</v>
      </c>
      <c r="E15" s="11">
        <f>C15*D15</f>
        <v>10462.469999999999</v>
      </c>
    </row>
    <row r="16" spans="1:6" x14ac:dyDescent="0.2">
      <c r="A16" s="12" t="s">
        <v>0</v>
      </c>
      <c r="B16" s="13" t="s">
        <v>1</v>
      </c>
      <c r="C16" s="13">
        <v>20</v>
      </c>
      <c r="D16" s="48">
        <f>SUM(E15:E15)</f>
        <v>10462.469999999999</v>
      </c>
      <c r="E16" s="14">
        <v>147.43</v>
      </c>
    </row>
    <row r="17" spans="1:6" x14ac:dyDescent="0.2">
      <c r="A17" s="51" t="s">
        <v>2</v>
      </c>
      <c r="B17" s="187"/>
      <c r="C17" s="187"/>
      <c r="D17" s="53"/>
      <c r="E17" s="54">
        <f>SUM(E15:E16)</f>
        <v>10609.9</v>
      </c>
    </row>
    <row r="18" spans="1:6" x14ac:dyDescent="0.2">
      <c r="A18" s="12" t="s">
        <v>3</v>
      </c>
      <c r="B18" s="13" t="s">
        <v>1</v>
      </c>
      <c r="C18" s="168">
        <f>'2.Encargos Sociais'!E52</f>
        <v>0.67220000000000002</v>
      </c>
      <c r="D18" s="14">
        <f>E17</f>
        <v>10609.9</v>
      </c>
      <c r="E18" s="14">
        <f>D18*C18/100</f>
        <v>71.319747800000002</v>
      </c>
    </row>
    <row r="19" spans="1:6" x14ac:dyDescent="0.2">
      <c r="A19" s="51" t="s">
        <v>122</v>
      </c>
      <c r="B19" s="187"/>
      <c r="C19" s="187"/>
      <c r="D19" s="53"/>
      <c r="E19" s="54">
        <f>E17+E18</f>
        <v>10681.2197478</v>
      </c>
    </row>
    <row r="20" spans="1:6" ht="13.5" thickBot="1" x14ac:dyDescent="0.25">
      <c r="A20" s="12" t="s">
        <v>4</v>
      </c>
      <c r="B20" s="173" t="s">
        <v>123</v>
      </c>
      <c r="C20" s="167">
        <v>1</v>
      </c>
      <c r="D20" s="14">
        <f>E19</f>
        <v>10681.2197478</v>
      </c>
      <c r="E20" s="14">
        <f>C20*D20</f>
        <v>10681.2197478</v>
      </c>
    </row>
    <row r="21" spans="1:6" ht="13.5" thickBot="1" x14ac:dyDescent="0.25">
      <c r="D21" s="56" t="s">
        <v>55</v>
      </c>
      <c r="E21" s="172">
        <v>1</v>
      </c>
      <c r="F21" s="57">
        <f>E20*E21</f>
        <v>10681.2197478</v>
      </c>
    </row>
    <row r="24" spans="1:6" ht="13.5" thickBot="1" x14ac:dyDescent="0.25">
      <c r="A24" s="194"/>
      <c r="B24" s="194"/>
      <c r="C24" s="194"/>
      <c r="D24" s="195"/>
      <c r="E24" s="195"/>
      <c r="F24" s="188"/>
    </row>
    <row r="25" spans="1:6" ht="13.5" thickBot="1" x14ac:dyDescent="0.25">
      <c r="A25" s="189"/>
      <c r="B25" s="190"/>
      <c r="C25" s="190"/>
      <c r="D25" s="191"/>
      <c r="E25" s="191"/>
      <c r="F25" s="192"/>
    </row>
    <row r="26" spans="1:6" ht="13.5" thickBot="1" x14ac:dyDescent="0.25">
      <c r="A26" s="196"/>
      <c r="B26" s="197"/>
      <c r="C26" s="198"/>
      <c r="D26" s="199"/>
      <c r="E26" s="200"/>
      <c r="F26" s="188"/>
    </row>
    <row r="27" spans="1:6" ht="13.5" thickBot="1" x14ac:dyDescent="0.25">
      <c r="A27" s="194"/>
      <c r="B27" s="194"/>
      <c r="C27" s="194"/>
      <c r="D27" s="201"/>
      <c r="E27" s="202"/>
      <c r="F27" s="193"/>
    </row>
    <row r="28" spans="1:6" ht="13.5" thickBot="1" x14ac:dyDescent="0.25"/>
    <row r="29" spans="1:6" ht="13.5" thickBot="1" x14ac:dyDescent="0.25">
      <c r="A29" s="17" t="s">
        <v>27</v>
      </c>
      <c r="B29" s="18"/>
      <c r="C29" s="18"/>
      <c r="D29" s="19"/>
      <c r="E29" s="20"/>
      <c r="F29" s="16">
        <f>F21+F27</f>
        <v>10681.2197478</v>
      </c>
    </row>
    <row r="31" spans="1:6" x14ac:dyDescent="0.2">
      <c r="A31" s="8" t="s">
        <v>12</v>
      </c>
    </row>
    <row r="33" spans="1:6" x14ac:dyDescent="0.2">
      <c r="A33" s="4" t="s">
        <v>118</v>
      </c>
    </row>
    <row r="34" spans="1:6" ht="13.5" thickBot="1" x14ac:dyDescent="0.25"/>
    <row r="35" spans="1:6" ht="24.75" thickBot="1" x14ac:dyDescent="0.25">
      <c r="A35" s="32" t="s">
        <v>15</v>
      </c>
      <c r="B35" s="33" t="s">
        <v>16</v>
      </c>
      <c r="C35" s="139" t="s">
        <v>85</v>
      </c>
      <c r="D35" s="34" t="s">
        <v>75</v>
      </c>
      <c r="E35" s="34" t="s">
        <v>17</v>
      </c>
      <c r="F35" s="35" t="s">
        <v>18</v>
      </c>
    </row>
    <row r="36" spans="1:6" x14ac:dyDescent="0.2">
      <c r="A36" s="165" t="s">
        <v>124</v>
      </c>
      <c r="B36" s="13" t="s">
        <v>6</v>
      </c>
      <c r="C36" s="169">
        <v>1</v>
      </c>
      <c r="D36" s="166">
        <v>150</v>
      </c>
      <c r="E36" s="11">
        <f>C36*D36</f>
        <v>150</v>
      </c>
    </row>
    <row r="37" spans="1:6" x14ac:dyDescent="0.2">
      <c r="A37" s="165"/>
      <c r="B37" s="173"/>
      <c r="C37" s="169"/>
      <c r="D37" s="166"/>
      <c r="E37" s="11">
        <f>C37*D37</f>
        <v>0</v>
      </c>
    </row>
    <row r="38" spans="1:6" x14ac:dyDescent="0.2">
      <c r="A38" s="165" t="s">
        <v>4</v>
      </c>
      <c r="B38" s="173" t="s">
        <v>123</v>
      </c>
      <c r="C38" s="38">
        <f>E7</f>
        <v>1</v>
      </c>
      <c r="D38" s="14">
        <f>+SUM(E36:E37)</f>
        <v>150</v>
      </c>
      <c r="E38" s="14">
        <f>C38*D38</f>
        <v>150</v>
      </c>
    </row>
    <row r="39" spans="1:6" x14ac:dyDescent="0.2">
      <c r="D39" s="56" t="s">
        <v>55</v>
      </c>
      <c r="E39" s="172">
        <v>1</v>
      </c>
      <c r="F39" s="179">
        <f>E38*E39</f>
        <v>150</v>
      </c>
    </row>
    <row r="41" spans="1:6" ht="13.5" thickBot="1" x14ac:dyDescent="0.25"/>
    <row r="42" spans="1:6" ht="13.5" thickBot="1" x14ac:dyDescent="0.25">
      <c r="A42" s="17" t="s">
        <v>56</v>
      </c>
      <c r="B42" s="21"/>
      <c r="C42" s="21"/>
      <c r="D42" s="22"/>
      <c r="E42" s="23"/>
      <c r="F42" s="180">
        <f>F21+F27+F39</f>
        <v>10831.2197478</v>
      </c>
    </row>
    <row r="44" spans="1:6" ht="13.5" thickBot="1" x14ac:dyDescent="0.25">
      <c r="A44" s="8" t="s">
        <v>119</v>
      </c>
      <c r="D44" s="56"/>
      <c r="E44" s="176"/>
      <c r="F44" s="171"/>
    </row>
    <row r="45" spans="1:6" ht="13.5" thickBot="1" x14ac:dyDescent="0.25">
      <c r="A45" s="32" t="s">
        <v>15</v>
      </c>
      <c r="B45" s="33" t="s">
        <v>16</v>
      </c>
      <c r="C45" s="33" t="s">
        <v>9</v>
      </c>
      <c r="D45" s="34" t="s">
        <v>75</v>
      </c>
      <c r="E45" s="34" t="s">
        <v>17</v>
      </c>
      <c r="F45" s="181"/>
    </row>
    <row r="46" spans="1:6" ht="13.5" thickBot="1" x14ac:dyDescent="0.25">
      <c r="A46" s="164" t="s">
        <v>128</v>
      </c>
      <c r="B46" s="174" t="s">
        <v>26</v>
      </c>
      <c r="C46" s="177">
        <v>20</v>
      </c>
      <c r="D46" s="175">
        <v>7</v>
      </c>
      <c r="E46" s="175">
        <f>C46*D46</f>
        <v>140</v>
      </c>
    </row>
    <row r="47" spans="1:6" ht="13.5" thickBot="1" x14ac:dyDescent="0.25">
      <c r="D47" s="56" t="s">
        <v>55</v>
      </c>
      <c r="E47" s="172">
        <v>4</v>
      </c>
      <c r="F47" s="57">
        <f>E46*E47</f>
        <v>560</v>
      </c>
    </row>
    <row r="48" spans="1:6" ht="13.5" thickBot="1" x14ac:dyDescent="0.25">
      <c r="F48" s="182"/>
    </row>
    <row r="49" spans="1:6" ht="13.5" thickBot="1" x14ac:dyDescent="0.25">
      <c r="A49" s="17" t="s">
        <v>66</v>
      </c>
      <c r="B49" s="21"/>
      <c r="C49" s="21"/>
      <c r="D49" s="22"/>
      <c r="E49" s="23"/>
      <c r="F49" s="182"/>
    </row>
    <row r="50" spans="1:6" ht="13.5" thickBot="1" x14ac:dyDescent="0.25">
      <c r="F50" s="35" t="s">
        <v>18</v>
      </c>
    </row>
    <row r="51" spans="1:6" ht="16.5" thickBot="1" x14ac:dyDescent="0.25">
      <c r="A51" s="8" t="s">
        <v>116</v>
      </c>
      <c r="F51" s="184">
        <f>F29+F39+F47</f>
        <v>11391.2197478</v>
      </c>
    </row>
    <row r="52" spans="1:6" ht="13.5" thickBot="1" x14ac:dyDescent="0.25">
      <c r="F52" s="183"/>
    </row>
    <row r="53" spans="1:6" ht="13.5" thickBot="1" x14ac:dyDescent="0.25">
      <c r="A53" s="32" t="s">
        <v>15</v>
      </c>
      <c r="B53" s="33" t="s">
        <v>16</v>
      </c>
      <c r="C53" s="33" t="s">
        <v>9</v>
      </c>
      <c r="D53" s="34" t="s">
        <v>75</v>
      </c>
      <c r="E53" s="34" t="s">
        <v>17</v>
      </c>
    </row>
    <row r="54" spans="1:6" ht="13.5" thickBot="1" x14ac:dyDescent="0.25">
      <c r="A54" s="9" t="s">
        <v>7</v>
      </c>
      <c r="B54" s="10" t="s">
        <v>1</v>
      </c>
      <c r="C54" s="168">
        <f>'4.BDI'!C33</f>
        <v>0.79959999999999998</v>
      </c>
      <c r="D54" s="11">
        <f>+F51</f>
        <v>11391.2197478</v>
      </c>
      <c r="E54" s="11">
        <f>D54*C54</f>
        <v>9108.4193103408797</v>
      </c>
      <c r="F54" s="170">
        <f>+E54</f>
        <v>9108.4193103408797</v>
      </c>
    </row>
    <row r="55" spans="1:6" ht="13.5" thickBot="1" x14ac:dyDescent="0.25"/>
    <row r="56" spans="1:6" ht="13.5" thickBot="1" x14ac:dyDescent="0.25">
      <c r="F56" s="35" t="s">
        <v>18</v>
      </c>
    </row>
    <row r="57" spans="1:6" ht="13.5" thickBot="1" x14ac:dyDescent="0.25">
      <c r="A57" s="17" t="s">
        <v>76</v>
      </c>
      <c r="B57" s="21"/>
      <c r="C57" s="21"/>
      <c r="D57" s="22"/>
      <c r="E57" s="23"/>
      <c r="F57" s="7">
        <f>F54</f>
        <v>9108.4193103408797</v>
      </c>
    </row>
    <row r="58" spans="1:6" ht="13.5" thickBot="1" x14ac:dyDescent="0.25"/>
    <row r="59" spans="1:6" ht="13.5" thickBot="1" x14ac:dyDescent="0.25">
      <c r="A59" s="17" t="s">
        <v>67</v>
      </c>
      <c r="B59" s="21"/>
      <c r="C59" s="21"/>
      <c r="D59" s="22"/>
      <c r="E59" s="23"/>
      <c r="F59" s="15">
        <f>F51+F57</f>
        <v>20499.639058140878</v>
      </c>
    </row>
    <row r="60" spans="1:6" x14ac:dyDescent="0.2">
      <c r="A60" s="24"/>
      <c r="B60" s="28"/>
      <c r="C60" s="28"/>
      <c r="D60" s="31"/>
      <c r="E60" s="31"/>
    </row>
    <row r="61" spans="1:6" x14ac:dyDescent="0.2">
      <c r="A61" s="24"/>
      <c r="B61" s="28"/>
      <c r="C61" s="28"/>
      <c r="D61" s="31"/>
      <c r="E61" s="31"/>
      <c r="F61" s="185"/>
    </row>
    <row r="62" spans="1:6" x14ac:dyDescent="0.2">
      <c r="A62" s="24" t="s">
        <v>129</v>
      </c>
      <c r="B62" s="28"/>
      <c r="C62" s="28"/>
      <c r="D62" s="31"/>
      <c r="E62" s="31"/>
      <c r="F62" s="186"/>
    </row>
    <row r="63" spans="1:6" ht="15.75" x14ac:dyDescent="0.2">
      <c r="A63" s="29"/>
      <c r="B63" s="29"/>
      <c r="C63" s="29"/>
      <c r="D63" s="30"/>
      <c r="E63" s="30"/>
      <c r="F63" s="171"/>
    </row>
    <row r="64" spans="1:6" ht="15.75" x14ac:dyDescent="0.2">
      <c r="A64" s="26"/>
      <c r="B64" s="171"/>
      <c r="C64" s="171"/>
      <c r="D64" s="171"/>
      <c r="E64" s="171"/>
    </row>
    <row r="92" spans="4:6" x14ac:dyDescent="0.2">
      <c r="F92" s="6"/>
    </row>
    <row r="93" spans="4:6" x14ac:dyDescent="0.2">
      <c r="D93" s="6"/>
      <c r="E93" s="6"/>
    </row>
  </sheetData>
  <mergeCells count="6">
    <mergeCell ref="A6:D6"/>
    <mergeCell ref="A1:F1"/>
    <mergeCell ref="A2:F2"/>
    <mergeCell ref="A3:F3"/>
    <mergeCell ref="A4:F4"/>
    <mergeCell ref="A5:E5"/>
  </mergeCells>
  <pageMargins left="0.511811024" right="0.511811024" top="0.78740157499999996" bottom="0.78740157499999996" header="0.31496062000000002" footer="0.31496062000000002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N52"/>
  <sheetViews>
    <sheetView view="pageBreakPreview" topLeftCell="A19" zoomScale="60" zoomScaleNormal="100" workbookViewId="0">
      <selection activeCell="D21" sqref="D21"/>
    </sheetView>
  </sheetViews>
  <sheetFormatPr defaultRowHeight="12.75" x14ac:dyDescent="0.2"/>
  <cols>
    <col min="1" max="2" width="9.140625" style="1"/>
    <col min="3" max="3" width="31.140625" style="1" customWidth="1"/>
    <col min="4" max="4" width="24" style="1" customWidth="1"/>
    <col min="5" max="5" width="16.42578125" style="1" customWidth="1"/>
    <col min="6" max="6" width="37.28515625" style="66" customWidth="1"/>
    <col min="7" max="12" width="9.140625" style="1"/>
    <col min="13" max="13" width="11" style="1" bestFit="1" customWidth="1"/>
    <col min="14" max="16384" width="9.140625" style="1"/>
  </cols>
  <sheetData>
    <row r="1" spans="3:14" x14ac:dyDescent="0.2">
      <c r="C1" s="221" t="s">
        <v>115</v>
      </c>
      <c r="D1" s="221"/>
      <c r="E1" s="221"/>
    </row>
    <row r="2" spans="3:14" x14ac:dyDescent="0.2">
      <c r="C2" s="257" t="s">
        <v>125</v>
      </c>
      <c r="D2" s="257"/>
      <c r="E2" s="257"/>
    </row>
    <row r="4" spans="3:14" ht="14.25" x14ac:dyDescent="0.2">
      <c r="C4" s="80"/>
      <c r="D4" s="80"/>
      <c r="E4" s="82"/>
      <c r="F4" s="83"/>
      <c r="H4" s="66"/>
      <c r="I4" s="66"/>
      <c r="J4" s="66"/>
      <c r="K4" s="66"/>
      <c r="L4" s="66"/>
      <c r="M4" s="66"/>
      <c r="N4" s="66"/>
    </row>
    <row r="5" spans="3:14" ht="15" x14ac:dyDescent="0.2">
      <c r="C5" s="205" t="s">
        <v>130</v>
      </c>
      <c r="D5" s="205"/>
      <c r="E5" s="206"/>
      <c r="F5" s="79"/>
      <c r="H5" s="66"/>
      <c r="I5" s="66"/>
      <c r="J5" s="66"/>
      <c r="K5" s="66"/>
      <c r="L5" s="66"/>
      <c r="M5" s="66"/>
      <c r="N5" s="66"/>
    </row>
    <row r="6" spans="3:14" ht="45.75" customHeight="1" x14ac:dyDescent="0.2">
      <c r="C6" s="258" t="s">
        <v>132</v>
      </c>
      <c r="D6" s="258"/>
      <c r="E6" s="258"/>
      <c r="F6" s="203"/>
      <c r="H6" s="66"/>
      <c r="I6" s="66"/>
      <c r="J6" s="66"/>
      <c r="K6" s="66"/>
      <c r="L6" s="66"/>
      <c r="M6" s="66"/>
      <c r="N6" s="66"/>
    </row>
    <row r="7" spans="3:14" ht="15" x14ac:dyDescent="0.2">
      <c r="C7" s="204" t="s">
        <v>131</v>
      </c>
      <c r="D7" s="205"/>
      <c r="E7" s="206"/>
      <c r="F7" s="79"/>
      <c r="H7" s="66"/>
      <c r="I7" s="66"/>
      <c r="J7" s="66"/>
      <c r="K7" s="66"/>
      <c r="L7" s="66"/>
      <c r="M7" s="66"/>
      <c r="N7" s="66"/>
    </row>
    <row r="8" spans="3:14" ht="15" x14ac:dyDescent="0.2">
      <c r="C8" s="79"/>
      <c r="D8" s="84"/>
      <c r="E8" s="85"/>
      <c r="F8" s="79"/>
      <c r="H8" s="66"/>
      <c r="I8" s="66"/>
      <c r="J8" s="66"/>
      <c r="K8" s="66"/>
      <c r="L8" s="66"/>
      <c r="M8" s="66"/>
      <c r="N8" s="66"/>
    </row>
    <row r="9" spans="3:14" ht="15" x14ac:dyDescent="0.2">
      <c r="C9" s="81"/>
      <c r="D9" s="84"/>
      <c r="E9" s="85"/>
      <c r="F9" s="81"/>
      <c r="G9" s="66"/>
      <c r="H9" s="66"/>
      <c r="I9" s="66"/>
      <c r="J9" s="66"/>
      <c r="K9" s="66"/>
      <c r="L9" s="66"/>
      <c r="M9" s="66"/>
      <c r="N9" s="66"/>
    </row>
    <row r="10" spans="3:14" ht="33" x14ac:dyDescent="0.2">
      <c r="C10" s="86" t="s">
        <v>133</v>
      </c>
      <c r="D10" s="66"/>
      <c r="E10" s="66"/>
      <c r="G10" s="66"/>
      <c r="H10" s="66"/>
      <c r="I10" s="66"/>
      <c r="J10" s="66"/>
      <c r="K10" s="66"/>
      <c r="L10" s="66"/>
      <c r="M10" s="66"/>
      <c r="N10" s="66"/>
    </row>
    <row r="11" spans="3:14" ht="16.5" x14ac:dyDescent="0.2">
      <c r="C11" s="245" t="s">
        <v>146</v>
      </c>
      <c r="D11" s="245"/>
      <c r="E11" s="245"/>
      <c r="G11" s="66"/>
      <c r="H11" s="66"/>
      <c r="I11" s="66"/>
      <c r="J11" s="66"/>
      <c r="K11" s="66"/>
      <c r="L11" s="66"/>
      <c r="M11" s="66"/>
      <c r="N11" s="66"/>
    </row>
    <row r="12" spans="3:14" ht="53.25" customHeight="1" x14ac:dyDescent="0.25">
      <c r="C12" s="256" t="s">
        <v>150</v>
      </c>
      <c r="D12" s="256"/>
      <c r="E12" s="256"/>
      <c r="G12" s="66"/>
      <c r="H12" s="66"/>
      <c r="I12" s="66"/>
      <c r="J12" s="66"/>
      <c r="K12" s="66"/>
      <c r="L12" s="66"/>
      <c r="M12" s="66"/>
      <c r="N12" s="66"/>
    </row>
    <row r="13" spans="3:14" x14ac:dyDescent="0.2">
      <c r="C13" s="87"/>
      <c r="D13" s="88"/>
      <c r="E13" s="88"/>
      <c r="G13" s="66"/>
      <c r="H13" s="66"/>
      <c r="I13" s="66"/>
      <c r="J13" s="66"/>
      <c r="K13" s="66"/>
      <c r="L13" s="66"/>
      <c r="M13" s="66"/>
      <c r="N13" s="66"/>
    </row>
    <row r="14" spans="3:14" ht="13.5" customHeight="1" x14ac:dyDescent="0.2">
      <c r="C14" s="207" t="s">
        <v>134</v>
      </c>
      <c r="D14" s="208" t="s">
        <v>135</v>
      </c>
      <c r="E14" s="208" t="s">
        <v>135</v>
      </c>
      <c r="G14" s="66"/>
      <c r="H14" s="66"/>
      <c r="I14" s="66"/>
      <c r="J14" s="66"/>
      <c r="K14" s="66"/>
      <c r="L14" s="66"/>
      <c r="M14" s="66"/>
      <c r="N14" s="66"/>
    </row>
    <row r="15" spans="3:14" ht="13.5" customHeight="1" x14ac:dyDescent="0.2">
      <c r="C15" s="247"/>
      <c r="D15" s="248"/>
      <c r="E15" s="249"/>
      <c r="G15" s="66"/>
      <c r="H15" s="66"/>
      <c r="I15" s="66"/>
      <c r="J15" s="66"/>
      <c r="K15" s="66"/>
      <c r="L15" s="66"/>
      <c r="M15" s="66"/>
      <c r="N15" s="66"/>
    </row>
    <row r="16" spans="3:14" ht="13.5" customHeight="1" x14ac:dyDescent="0.2">
      <c r="C16" s="250" t="s">
        <v>136</v>
      </c>
      <c r="D16" s="251"/>
      <c r="E16" s="252"/>
      <c r="G16" s="66"/>
      <c r="H16" s="66"/>
      <c r="I16" s="66"/>
      <c r="J16" s="66"/>
      <c r="K16" s="66"/>
      <c r="L16" s="66"/>
      <c r="M16" s="66"/>
      <c r="N16" s="66"/>
    </row>
    <row r="17" spans="3:14" ht="13.5" customHeight="1" x14ac:dyDescent="0.2">
      <c r="C17" s="209" t="s">
        <v>137</v>
      </c>
      <c r="D17" s="210"/>
      <c r="E17" s="211">
        <v>8.3299999999999999E-2</v>
      </c>
      <c r="G17" s="66"/>
      <c r="H17" s="66"/>
      <c r="I17" s="66"/>
      <c r="J17" s="66"/>
      <c r="K17" s="66"/>
      <c r="L17" s="66"/>
      <c r="M17" s="66"/>
      <c r="N17" s="66"/>
    </row>
    <row r="18" spans="3:14" ht="13.5" customHeight="1" x14ac:dyDescent="0.2">
      <c r="C18" s="209" t="s">
        <v>138</v>
      </c>
      <c r="D18" s="210"/>
      <c r="E18" s="211">
        <v>0.1111</v>
      </c>
      <c r="G18" s="66"/>
      <c r="H18" s="66"/>
      <c r="I18" s="66"/>
      <c r="J18" s="66"/>
      <c r="K18" s="66"/>
      <c r="L18" s="66"/>
      <c r="M18" s="66"/>
      <c r="N18" s="66"/>
    </row>
    <row r="19" spans="3:14" ht="13.5" customHeight="1" x14ac:dyDescent="0.2">
      <c r="C19" s="247"/>
      <c r="D19" s="248"/>
      <c r="E19" s="249"/>
      <c r="G19" s="66"/>
      <c r="H19" s="66"/>
      <c r="I19" s="66"/>
      <c r="J19" s="66"/>
      <c r="K19" s="66"/>
      <c r="L19" s="66"/>
      <c r="M19" s="66"/>
      <c r="N19" s="66"/>
    </row>
    <row r="20" spans="3:14" ht="13.5" customHeight="1" x14ac:dyDescent="0.2">
      <c r="C20" s="250" t="s">
        <v>3</v>
      </c>
      <c r="D20" s="251"/>
      <c r="E20" s="252"/>
      <c r="G20" s="66"/>
      <c r="H20" s="66"/>
      <c r="I20" s="66"/>
      <c r="J20" s="66"/>
      <c r="K20" s="66"/>
      <c r="L20" s="66"/>
      <c r="M20" s="66"/>
      <c r="N20" s="66"/>
    </row>
    <row r="21" spans="3:14" ht="13.5" customHeight="1" x14ac:dyDescent="0.2">
      <c r="C21" s="209" t="s">
        <v>10</v>
      </c>
      <c r="D21" s="211">
        <v>0</v>
      </c>
      <c r="E21" s="210"/>
      <c r="G21" s="66"/>
      <c r="H21" s="66"/>
      <c r="I21" s="66"/>
      <c r="J21" s="66"/>
      <c r="K21" s="66"/>
      <c r="L21" s="66"/>
      <c r="M21" s="66"/>
      <c r="N21" s="66"/>
    </row>
    <row r="22" spans="3:14" ht="13.5" customHeight="1" x14ac:dyDescent="0.2">
      <c r="C22" s="209" t="s">
        <v>139</v>
      </c>
      <c r="D22" s="211">
        <v>0</v>
      </c>
      <c r="E22" s="210"/>
      <c r="G22" s="66"/>
      <c r="H22" s="66"/>
      <c r="I22" s="66"/>
      <c r="J22" s="66"/>
      <c r="K22" s="66"/>
      <c r="L22" s="66"/>
      <c r="M22" s="66"/>
      <c r="N22" s="66"/>
    </row>
    <row r="23" spans="3:14" ht="13.5" customHeight="1" x14ac:dyDescent="0.2">
      <c r="C23" s="209" t="s">
        <v>140</v>
      </c>
      <c r="D23" s="211">
        <v>0</v>
      </c>
      <c r="E23" s="210"/>
      <c r="G23" s="66"/>
      <c r="H23" s="66"/>
      <c r="I23" s="66"/>
      <c r="J23" s="66"/>
      <c r="K23" s="66"/>
      <c r="L23" s="66"/>
      <c r="M23" s="66"/>
      <c r="N23" s="66"/>
    </row>
    <row r="24" spans="3:14" ht="13.5" customHeight="1" x14ac:dyDescent="0.2">
      <c r="C24" s="209" t="s">
        <v>141</v>
      </c>
      <c r="D24" s="211">
        <v>0</v>
      </c>
      <c r="E24" s="210"/>
      <c r="G24" s="66"/>
      <c r="H24" s="66"/>
      <c r="I24" s="66"/>
      <c r="J24" s="66"/>
      <c r="K24" s="66"/>
      <c r="L24" s="66"/>
      <c r="M24" s="66"/>
      <c r="N24" s="66"/>
    </row>
    <row r="25" spans="3:14" ht="13.5" customHeight="1" x14ac:dyDescent="0.2">
      <c r="C25" s="209" t="s">
        <v>11</v>
      </c>
      <c r="D25" s="211">
        <v>0.08</v>
      </c>
      <c r="E25" s="210"/>
      <c r="G25" s="66"/>
      <c r="H25" s="66"/>
      <c r="I25" s="66"/>
      <c r="J25" s="66"/>
      <c r="K25" s="66"/>
      <c r="L25" s="66"/>
      <c r="M25" s="66"/>
      <c r="N25" s="66"/>
    </row>
    <row r="26" spans="3:14" ht="13.5" customHeight="1" x14ac:dyDescent="0.2">
      <c r="C26" s="209" t="s">
        <v>145</v>
      </c>
      <c r="D26" s="211">
        <v>3.2000000000000001E-2</v>
      </c>
      <c r="E26" s="210"/>
      <c r="G26" s="66"/>
      <c r="H26" s="66"/>
      <c r="I26" s="66"/>
      <c r="J26" s="66"/>
      <c r="K26" s="66"/>
      <c r="L26" s="66"/>
      <c r="M26" s="66"/>
      <c r="N26" s="66"/>
    </row>
    <row r="27" spans="3:14" ht="13.5" customHeight="1" x14ac:dyDescent="0.2">
      <c r="C27" s="209" t="s">
        <v>142</v>
      </c>
      <c r="D27" s="210"/>
      <c r="E27" s="211">
        <v>0.112</v>
      </c>
      <c r="G27" s="66"/>
    </row>
    <row r="28" spans="3:14" ht="13.5" customHeight="1" x14ac:dyDescent="0.2">
      <c r="C28" s="209" t="s">
        <v>143</v>
      </c>
      <c r="D28" s="208"/>
      <c r="E28" s="211">
        <v>2.18E-2</v>
      </c>
      <c r="G28" s="66"/>
    </row>
    <row r="29" spans="3:14" ht="13.5" customHeight="1" x14ac:dyDescent="0.2">
      <c r="C29" s="253"/>
      <c r="D29" s="254"/>
      <c r="E29" s="255"/>
      <c r="G29" s="66"/>
    </row>
    <row r="30" spans="3:14" ht="13.5" customHeight="1" x14ac:dyDescent="0.2">
      <c r="C30" s="212" t="s">
        <v>144</v>
      </c>
      <c r="D30" s="210"/>
      <c r="E30" s="213">
        <v>0.32819999999999999</v>
      </c>
      <c r="G30" s="66"/>
    </row>
    <row r="31" spans="3:14" x14ac:dyDescent="0.2">
      <c r="C31" s="66"/>
      <c r="D31" s="66"/>
      <c r="E31" s="66"/>
      <c r="G31" s="66"/>
    </row>
    <row r="32" spans="3:14" ht="33" x14ac:dyDescent="0.2">
      <c r="C32" s="86" t="s">
        <v>149</v>
      </c>
      <c r="D32" s="66"/>
      <c r="E32" s="66"/>
      <c r="G32" s="66"/>
    </row>
    <row r="33" spans="3:7" ht="16.5" x14ac:dyDescent="0.2">
      <c r="C33" s="245" t="s">
        <v>146</v>
      </c>
      <c r="D33" s="245"/>
      <c r="E33" s="245"/>
      <c r="G33" s="66"/>
    </row>
    <row r="34" spans="3:7" ht="65.25" customHeight="1" x14ac:dyDescent="0.3">
      <c r="C34" s="246" t="s">
        <v>151</v>
      </c>
      <c r="D34" s="246"/>
      <c r="E34" s="246"/>
      <c r="G34" s="66"/>
    </row>
    <row r="35" spans="3:7" x14ac:dyDescent="0.2">
      <c r="C35" s="66"/>
      <c r="D35" s="66"/>
      <c r="E35" s="66"/>
      <c r="G35" s="66"/>
    </row>
    <row r="36" spans="3:7" ht="31.5" x14ac:dyDescent="0.2">
      <c r="C36" s="214" t="s">
        <v>134</v>
      </c>
      <c r="D36" s="215" t="s">
        <v>135</v>
      </c>
      <c r="E36" s="215" t="s">
        <v>135</v>
      </c>
      <c r="G36" s="66"/>
    </row>
    <row r="37" spans="3:7" ht="15.75" x14ac:dyDescent="0.2">
      <c r="C37" s="239"/>
      <c r="D37" s="240"/>
      <c r="E37" s="241"/>
      <c r="G37" s="66"/>
    </row>
    <row r="38" spans="3:7" ht="15.75" x14ac:dyDescent="0.2">
      <c r="C38" s="236" t="s">
        <v>136</v>
      </c>
      <c r="D38" s="237"/>
      <c r="E38" s="238"/>
      <c r="G38" s="66"/>
    </row>
    <row r="39" spans="3:7" ht="15.75" x14ac:dyDescent="0.2">
      <c r="C39" s="216" t="s">
        <v>137</v>
      </c>
      <c r="D39" s="217"/>
      <c r="E39" s="218">
        <v>8.3299999999999999E-2</v>
      </c>
    </row>
    <row r="40" spans="3:7" ht="15.75" x14ac:dyDescent="0.2">
      <c r="C40" s="216" t="s">
        <v>138</v>
      </c>
      <c r="D40" s="217"/>
      <c r="E40" s="218">
        <v>0.1111</v>
      </c>
    </row>
    <row r="41" spans="3:7" ht="15.75" x14ac:dyDescent="0.2">
      <c r="C41" s="239"/>
      <c r="D41" s="240"/>
      <c r="E41" s="241"/>
    </row>
    <row r="42" spans="3:7" ht="15.75" x14ac:dyDescent="0.2">
      <c r="C42" s="236" t="s">
        <v>3</v>
      </c>
      <c r="D42" s="237"/>
      <c r="E42" s="238"/>
    </row>
    <row r="43" spans="3:7" ht="15.75" x14ac:dyDescent="0.2">
      <c r="C43" s="216" t="s">
        <v>10</v>
      </c>
      <c r="D43" s="218">
        <v>0.2</v>
      </c>
      <c r="E43" s="217"/>
    </row>
    <row r="44" spans="3:7" ht="15.75" x14ac:dyDescent="0.2">
      <c r="C44" s="216" t="s">
        <v>147</v>
      </c>
      <c r="D44" s="218">
        <v>0.03</v>
      </c>
      <c r="E44" s="217"/>
    </row>
    <row r="45" spans="3:7" ht="15.75" x14ac:dyDescent="0.2">
      <c r="C45" s="216" t="s">
        <v>140</v>
      </c>
      <c r="D45" s="218">
        <v>2.5000000000000001E-2</v>
      </c>
      <c r="E45" s="217"/>
    </row>
    <row r="46" spans="3:7" ht="31.5" x14ac:dyDescent="0.2">
      <c r="C46" s="216" t="s">
        <v>141</v>
      </c>
      <c r="D46" s="218">
        <v>3.3000000000000002E-2</v>
      </c>
      <c r="E46" s="217"/>
    </row>
    <row r="47" spans="3:7" ht="15.75" x14ac:dyDescent="0.2">
      <c r="C47" s="216" t="s">
        <v>11</v>
      </c>
      <c r="D47" s="218">
        <v>0.08</v>
      </c>
      <c r="E47" s="217"/>
    </row>
    <row r="48" spans="3:7" ht="31.5" x14ac:dyDescent="0.2">
      <c r="C48" s="216" t="s">
        <v>148</v>
      </c>
      <c r="D48" s="218">
        <v>3.2000000000000001E-2</v>
      </c>
      <c r="E48" s="217"/>
    </row>
    <row r="49" spans="3:5" ht="15.75" x14ac:dyDescent="0.2">
      <c r="C49" s="216" t="s">
        <v>142</v>
      </c>
      <c r="D49" s="217"/>
      <c r="E49" s="218">
        <v>0.4</v>
      </c>
    </row>
    <row r="50" spans="3:5" ht="15.75" x14ac:dyDescent="0.2">
      <c r="C50" s="216" t="s">
        <v>143</v>
      </c>
      <c r="D50" s="215"/>
      <c r="E50" s="218">
        <v>7.7799999999999994E-2</v>
      </c>
    </row>
    <row r="51" spans="3:5" ht="15.75" x14ac:dyDescent="0.2">
      <c r="C51" s="242"/>
      <c r="D51" s="243"/>
      <c r="E51" s="244"/>
    </row>
    <row r="52" spans="3:5" ht="15.75" x14ac:dyDescent="0.2">
      <c r="C52" s="219" t="s">
        <v>144</v>
      </c>
      <c r="D52" s="217"/>
      <c r="E52" s="220">
        <v>0.67220000000000002</v>
      </c>
    </row>
  </sheetData>
  <mergeCells count="17">
    <mergeCell ref="C1:E1"/>
    <mergeCell ref="C2:E2"/>
    <mergeCell ref="C6:E6"/>
    <mergeCell ref="C15:E15"/>
    <mergeCell ref="C16:E16"/>
    <mergeCell ref="C19:E19"/>
    <mergeCell ref="C20:E20"/>
    <mergeCell ref="C29:E29"/>
    <mergeCell ref="C11:E11"/>
    <mergeCell ref="C37:E37"/>
    <mergeCell ref="C12:E12"/>
    <mergeCell ref="C38:E38"/>
    <mergeCell ref="C41:E41"/>
    <mergeCell ref="C42:E42"/>
    <mergeCell ref="C51:E51"/>
    <mergeCell ref="C33:E33"/>
    <mergeCell ref="C34:E34"/>
  </mergeCells>
  <pageMargins left="0.90551181102362199" right="0.51181102362204722" top="0.74803149606299213" bottom="0.74803149606299213" header="0.31496062992125984" footer="0.31496062992125984"/>
  <pageSetup paperSize="9" scale="70" orientation="portrait" r:id="rId1"/>
  <colBreaks count="1" manualBreakCount="1">
    <brk id="6" max="5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1"/>
  <sheetViews>
    <sheetView view="pageBreakPreview" topLeftCell="A7" zoomScale="60" zoomScaleNormal="100" workbookViewId="0">
      <selection activeCell="L43" sqref="L43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hidden="1" customWidth="1"/>
    <col min="5" max="5" width="13.7109375" style="1" hidden="1" customWidth="1"/>
    <col min="6" max="6" width="14.42578125" style="1" hidden="1" customWidth="1"/>
    <col min="7" max="7" width="12.7109375" style="1" hidden="1" customWidth="1"/>
    <col min="8" max="8" width="4.42578125" style="1" hidden="1" customWidth="1"/>
    <col min="9" max="9" width="6.85546875" style="1" hidden="1" customWidth="1"/>
    <col min="10" max="10" width="3.28515625" style="1" hidden="1" customWidth="1"/>
    <col min="11" max="11" width="0" style="1" hidden="1" customWidth="1"/>
    <col min="12" max="16384" width="9.140625" style="1"/>
  </cols>
  <sheetData>
    <row r="1" spans="1:3" x14ac:dyDescent="0.2">
      <c r="A1" s="50" t="s">
        <v>126</v>
      </c>
    </row>
    <row r="3" spans="1:3" x14ac:dyDescent="0.2">
      <c r="A3" s="1" t="s">
        <v>63</v>
      </c>
    </row>
    <row r="4" spans="1:3" x14ac:dyDescent="0.2">
      <c r="A4" s="140" t="s">
        <v>59</v>
      </c>
    </row>
    <row r="5" spans="1:3" ht="25.5" customHeight="1" x14ac:dyDescent="0.2">
      <c r="A5" s="262" t="s">
        <v>84</v>
      </c>
      <c r="B5" s="261"/>
      <c r="C5" s="261"/>
    </row>
    <row r="6" spans="1:3" x14ac:dyDescent="0.2">
      <c r="A6" s="1" t="s">
        <v>60</v>
      </c>
    </row>
    <row r="7" spans="1:3" ht="26.25" customHeight="1" x14ac:dyDescent="0.2">
      <c r="A7" s="261" t="s">
        <v>61</v>
      </c>
      <c r="B7" s="261"/>
      <c r="C7" s="261"/>
    </row>
    <row r="8" spans="1:3" x14ac:dyDescent="0.2">
      <c r="A8" s="1" t="s">
        <v>62</v>
      </c>
    </row>
    <row r="9" spans="1:3" x14ac:dyDescent="0.2">
      <c r="A9" s="1" t="s">
        <v>77</v>
      </c>
    </row>
    <row r="10" spans="1:3" ht="13.5" thickBot="1" x14ac:dyDescent="0.25"/>
    <row r="11" spans="1:3" ht="18" x14ac:dyDescent="0.25">
      <c r="B11" s="259" t="s">
        <v>68</v>
      </c>
      <c r="C11" s="260"/>
    </row>
    <row r="12" spans="1:3" ht="15" x14ac:dyDescent="0.25">
      <c r="A12" s="66"/>
      <c r="B12" s="65" t="s">
        <v>58</v>
      </c>
      <c r="C12" s="89"/>
    </row>
    <row r="13" spans="1:3" ht="15" x14ac:dyDescent="0.25">
      <c r="A13" s="66"/>
      <c r="B13" s="67" t="s">
        <v>32</v>
      </c>
      <c r="C13" s="68">
        <v>2486</v>
      </c>
    </row>
    <row r="14" spans="1:3" ht="15" x14ac:dyDescent="0.25">
      <c r="A14" s="66"/>
      <c r="B14" s="69" t="s">
        <v>33</v>
      </c>
      <c r="C14" s="68">
        <v>3303</v>
      </c>
    </row>
    <row r="15" spans="1:3" ht="14.25" x14ac:dyDescent="0.2">
      <c r="A15" s="66"/>
      <c r="B15" s="90" t="s">
        <v>34</v>
      </c>
      <c r="C15" s="91">
        <v>81</v>
      </c>
    </row>
    <row r="16" spans="1:3" ht="14.25" x14ac:dyDescent="0.2">
      <c r="A16" s="66"/>
      <c r="B16" s="90" t="s">
        <v>35</v>
      </c>
      <c r="C16" s="91">
        <v>2336</v>
      </c>
    </row>
    <row r="17" spans="1:7" ht="14.25" x14ac:dyDescent="0.2">
      <c r="A17" s="66"/>
      <c r="B17" s="90" t="s">
        <v>36</v>
      </c>
      <c r="C17" s="91">
        <v>342</v>
      </c>
    </row>
    <row r="18" spans="1:7" ht="14.25" x14ac:dyDescent="0.2">
      <c r="A18" s="66"/>
      <c r="B18" s="90" t="s">
        <v>37</v>
      </c>
      <c r="C18" s="91">
        <v>18</v>
      </c>
    </row>
    <row r="19" spans="1:7" ht="14.25" x14ac:dyDescent="0.2">
      <c r="A19" s="66"/>
      <c r="B19" s="90" t="s">
        <v>38</v>
      </c>
      <c r="C19" s="91">
        <v>500</v>
      </c>
    </row>
    <row r="20" spans="1:7" ht="14.25" x14ac:dyDescent="0.2">
      <c r="A20" s="66"/>
      <c r="B20" s="90" t="s">
        <v>39</v>
      </c>
      <c r="C20" s="91">
        <v>1</v>
      </c>
    </row>
    <row r="21" spans="1:7" ht="14.25" x14ac:dyDescent="0.2">
      <c r="A21" s="66"/>
      <c r="B21" s="90" t="s">
        <v>40</v>
      </c>
      <c r="C21" s="91">
        <v>25</v>
      </c>
    </row>
    <row r="22" spans="1:7" ht="14.25" x14ac:dyDescent="0.2">
      <c r="A22" s="66"/>
      <c r="B22" s="92" t="s">
        <v>41</v>
      </c>
      <c r="C22" s="93">
        <v>0</v>
      </c>
    </row>
    <row r="23" spans="1:7" ht="15" x14ac:dyDescent="0.25">
      <c r="A23" s="66" t="s">
        <v>42</v>
      </c>
      <c r="B23" s="65" t="s">
        <v>43</v>
      </c>
      <c r="C23" s="89"/>
    </row>
    <row r="24" spans="1:7" ht="14.25" x14ac:dyDescent="0.2">
      <c r="A24" s="66"/>
      <c r="B24" s="94" t="s">
        <v>86</v>
      </c>
      <c r="C24" s="95">
        <v>6400</v>
      </c>
    </row>
    <row r="25" spans="1:7" ht="14.25" x14ac:dyDescent="0.2">
      <c r="A25" s="66"/>
      <c r="B25" s="90" t="s">
        <v>87</v>
      </c>
      <c r="C25" s="91">
        <v>5583</v>
      </c>
    </row>
    <row r="26" spans="1:7" ht="14.25" x14ac:dyDescent="0.2">
      <c r="B26" s="90" t="s">
        <v>88</v>
      </c>
      <c r="C26" s="91">
        <v>-817</v>
      </c>
    </row>
    <row r="27" spans="1:7" ht="14.25" x14ac:dyDescent="0.2">
      <c r="B27" s="96"/>
      <c r="C27" s="97"/>
    </row>
    <row r="28" spans="1:7" ht="15" x14ac:dyDescent="0.25">
      <c r="B28" s="70" t="s">
        <v>44</v>
      </c>
      <c r="C28" s="141">
        <f>MEDIAN(C13,C14)/MEDIAN(C24,C25)</f>
        <v>0.48310105983476592</v>
      </c>
      <c r="G28" s="1">
        <f>12/C28</f>
        <v>24.839523233719124</v>
      </c>
    </row>
    <row r="29" spans="1:7" ht="15" x14ac:dyDescent="0.25">
      <c r="B29" s="67" t="s">
        <v>45</v>
      </c>
      <c r="C29" s="141">
        <f>C16/MEDIAN(C24,C25)</f>
        <v>0.38988567136777103</v>
      </c>
    </row>
    <row r="30" spans="1:7" ht="15" x14ac:dyDescent="0.25">
      <c r="B30" s="72" t="s">
        <v>46</v>
      </c>
      <c r="C30" s="71">
        <v>360</v>
      </c>
    </row>
    <row r="31" spans="1:7" ht="15" x14ac:dyDescent="0.25">
      <c r="B31" s="67" t="s">
        <v>78</v>
      </c>
      <c r="C31" s="71">
        <v>10</v>
      </c>
    </row>
    <row r="32" spans="1:7" ht="15" x14ac:dyDescent="0.25">
      <c r="B32" s="67" t="s">
        <v>79</v>
      </c>
      <c r="C32" s="71">
        <v>30</v>
      </c>
      <c r="G32" s="1">
        <f>TRUNC(G37)</f>
        <v>0</v>
      </c>
    </row>
    <row r="33" spans="2:11" ht="15" x14ac:dyDescent="0.25">
      <c r="B33" s="67" t="s">
        <v>80</v>
      </c>
      <c r="C33" s="71">
        <v>30</v>
      </c>
    </row>
    <row r="34" spans="2:11" s="50" customFormat="1" ht="15" x14ac:dyDescent="0.25">
      <c r="B34" s="67" t="s">
        <v>47</v>
      </c>
      <c r="C34" s="98">
        <f>MEDIAN(C24,C25)</f>
        <v>5991.5</v>
      </c>
    </row>
    <row r="35" spans="2:11" s="50" customFormat="1" ht="15" x14ac:dyDescent="0.25">
      <c r="B35" s="67" t="s">
        <v>11</v>
      </c>
      <c r="C35" s="99">
        <v>0.08</v>
      </c>
      <c r="K35" s="50">
        <f>IF(C39&gt;12,C39-12,C39)</f>
        <v>12.839523233719124</v>
      </c>
    </row>
    <row r="36" spans="2:11" s="50" customFormat="1" ht="15" x14ac:dyDescent="0.25">
      <c r="B36" s="67" t="s">
        <v>48</v>
      </c>
      <c r="C36" s="99">
        <v>0.5</v>
      </c>
      <c r="K36" s="50" t="e">
        <f>IF(#REF!&gt;12,#REF!-12,#REF!)</f>
        <v>#REF!</v>
      </c>
    </row>
    <row r="37" spans="2:11" s="50" customFormat="1" ht="15" x14ac:dyDescent="0.25">
      <c r="B37" s="67" t="s">
        <v>49</v>
      </c>
      <c r="C37" s="142">
        <f>((1/C28)-TRUNC(E37))</f>
        <v>6.9960269476593506E-2</v>
      </c>
      <c r="D37" s="50">
        <f>TRUNC(E37)</f>
        <v>2</v>
      </c>
      <c r="E37" s="50">
        <f>1/C28</f>
        <v>2.0699602694765935</v>
      </c>
      <c r="F37" s="50">
        <f>((1/C28)-TRUNC(E37))</f>
        <v>6.9960269476593506E-2</v>
      </c>
      <c r="G37" s="50">
        <f>12*F37</f>
        <v>0.83952323371912208</v>
      </c>
      <c r="K37" s="50" t="e">
        <f>IF(#REF!&gt;12,#REF!-12,#REF!)</f>
        <v>#REF!</v>
      </c>
    </row>
    <row r="38" spans="2:11" s="50" customFormat="1" ht="15" x14ac:dyDescent="0.25">
      <c r="B38" s="65" t="s">
        <v>50</v>
      </c>
      <c r="C38" s="73">
        <f>30+D38</f>
        <v>36</v>
      </c>
      <c r="D38" s="50">
        <f>3*D37</f>
        <v>6</v>
      </c>
      <c r="G38" s="50">
        <f>G37/12*40/360</f>
        <v>7.7733632751770566E-3</v>
      </c>
      <c r="K38" s="50" t="e">
        <f>IF(#REF!&gt;12,#REF!-12,#REF!)</f>
        <v>#REF!</v>
      </c>
    </row>
    <row r="39" spans="2:11" s="50" customFormat="1" ht="15.75" thickBot="1" x14ac:dyDescent="0.3">
      <c r="B39" s="74" t="s">
        <v>82</v>
      </c>
      <c r="C39" s="143">
        <f>12/C28</f>
        <v>24.839523233719124</v>
      </c>
      <c r="K39" s="50" t="e">
        <f>IF(#REF!&gt;12,#REF!-12,#REF!)</f>
        <v>#REF!</v>
      </c>
    </row>
    <row r="40" spans="2:11" x14ac:dyDescent="0.2">
      <c r="K40" s="1" t="e">
        <f>IF(K39&gt;12,K39-12,K39)</f>
        <v>#REF!</v>
      </c>
    </row>
    <row r="41" spans="2:11" x14ac:dyDescent="0.2">
      <c r="K41" s="1" t="e">
        <f>IF(K40&gt;12,K40-12,K40)</f>
        <v>#REF!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view="pageBreakPreview" topLeftCell="A4" zoomScale="60" zoomScaleNormal="100" workbookViewId="0">
      <selection activeCell="F9" sqref="F9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55" bestFit="1" customWidth="1"/>
    <col min="6" max="6" width="9.7109375" bestFit="1" customWidth="1"/>
  </cols>
  <sheetData>
    <row r="1" spans="1:8" s="63" customFormat="1" ht="14.25" x14ac:dyDescent="0.2">
      <c r="A1" s="221" t="s">
        <v>115</v>
      </c>
      <c r="B1" s="221"/>
      <c r="C1" s="221"/>
      <c r="D1" s="221"/>
      <c r="E1" s="221"/>
      <c r="F1" s="221"/>
    </row>
    <row r="2" spans="1:8" s="63" customFormat="1" ht="14.25" x14ac:dyDescent="0.2">
      <c r="A2" s="144"/>
      <c r="B2" s="61"/>
      <c r="C2" s="61"/>
      <c r="E2" s="64"/>
    </row>
    <row r="3" spans="1:8" s="63" customFormat="1" ht="14.25" x14ac:dyDescent="0.2">
      <c r="A3" s="269" t="s">
        <v>125</v>
      </c>
      <c r="B3" s="269"/>
      <c r="C3" s="269"/>
      <c r="D3" s="269"/>
      <c r="E3" s="269"/>
      <c r="F3" s="269"/>
    </row>
    <row r="4" spans="1:8" s="63" customFormat="1" ht="14.25" x14ac:dyDescent="0.2">
      <c r="A4" s="144"/>
      <c r="B4" s="61"/>
      <c r="C4" s="61"/>
      <c r="E4" s="64"/>
    </row>
    <row r="5" spans="1:8" s="63" customFormat="1" ht="15" thickBot="1" x14ac:dyDescent="0.25">
      <c r="B5" s="61"/>
      <c r="C5" s="61"/>
      <c r="E5" s="64"/>
    </row>
    <row r="6" spans="1:8" ht="15.75" x14ac:dyDescent="0.2">
      <c r="A6" s="266" t="s">
        <v>69</v>
      </c>
      <c r="B6" s="267"/>
      <c r="C6" s="267"/>
      <c r="D6" s="267"/>
      <c r="E6" s="267"/>
      <c r="F6" s="268"/>
    </row>
    <row r="7" spans="1:8" ht="16.5" thickBot="1" x14ac:dyDescent="0.25">
      <c r="A7" s="134" t="s">
        <v>153</v>
      </c>
      <c r="B7" s="135"/>
      <c r="C7" s="135"/>
      <c r="D7" s="135"/>
      <c r="E7" s="135"/>
      <c r="F7" s="136"/>
    </row>
    <row r="8" spans="1:8" ht="15" x14ac:dyDescent="0.25">
      <c r="A8" s="100"/>
      <c r="B8" s="62"/>
      <c r="C8" s="62"/>
      <c r="D8" s="263" t="s">
        <v>81</v>
      </c>
      <c r="E8" s="264"/>
      <c r="F8" s="265"/>
      <c r="G8" s="63"/>
      <c r="H8" s="63"/>
    </row>
    <row r="9" spans="1:8" ht="15" thickBot="1" x14ac:dyDescent="0.25">
      <c r="A9" s="96"/>
      <c r="B9" s="101"/>
      <c r="C9" s="101"/>
      <c r="D9" s="102" t="s">
        <v>52</v>
      </c>
      <c r="E9" s="103" t="s">
        <v>53</v>
      </c>
      <c r="F9" s="104" t="s">
        <v>54</v>
      </c>
      <c r="G9" s="63"/>
      <c r="H9" s="63"/>
    </row>
    <row r="10" spans="1:8" ht="14.25" x14ac:dyDescent="0.2">
      <c r="A10" s="105" t="s">
        <v>19</v>
      </c>
      <c r="B10" s="106" t="s">
        <v>20</v>
      </c>
      <c r="C10" s="107">
        <v>0</v>
      </c>
      <c r="D10" s="124">
        <v>2.9700000000000001E-2</v>
      </c>
      <c r="E10" s="125">
        <v>5.0799999999999998E-2</v>
      </c>
      <c r="F10" s="126">
        <v>6.2700000000000006E-2</v>
      </c>
      <c r="G10" s="63"/>
      <c r="H10" s="63"/>
    </row>
    <row r="11" spans="1:8" ht="14.25" x14ac:dyDescent="0.2">
      <c r="A11" s="108" t="s">
        <v>21</v>
      </c>
      <c r="B11" s="109" t="s">
        <v>22</v>
      </c>
      <c r="C11" s="110">
        <v>0.32</v>
      </c>
      <c r="D11" s="124">
        <v>7.7799999999999994E-2</v>
      </c>
      <c r="E11" s="125">
        <v>0.1085</v>
      </c>
      <c r="F11" s="126">
        <v>0.13550000000000001</v>
      </c>
      <c r="G11" s="63"/>
      <c r="H11" s="63"/>
    </row>
    <row r="12" spans="1:8" ht="15" thickBot="1" x14ac:dyDescent="0.25">
      <c r="A12" s="112" t="s">
        <v>117</v>
      </c>
      <c r="B12" s="163"/>
      <c r="C12" s="113">
        <v>0.06</v>
      </c>
      <c r="D12" s="90"/>
      <c r="E12" s="114"/>
      <c r="F12" s="111"/>
      <c r="G12" s="63"/>
      <c r="H12" s="63"/>
    </row>
    <row r="13" spans="1:8" ht="14.25" x14ac:dyDescent="0.2">
      <c r="A13" s="115" t="s">
        <v>23</v>
      </c>
      <c r="B13" s="116"/>
      <c r="C13" s="117"/>
      <c r="D13" s="90"/>
      <c r="E13" s="114"/>
      <c r="F13" s="111"/>
      <c r="G13" s="63"/>
      <c r="H13" s="63"/>
    </row>
    <row r="14" spans="1:8" ht="15" thickBot="1" x14ac:dyDescent="0.25">
      <c r="A14" s="118" t="s">
        <v>24</v>
      </c>
      <c r="B14" s="119"/>
      <c r="C14" s="120"/>
      <c r="D14" s="90"/>
      <c r="E14" s="114"/>
      <c r="F14" s="111"/>
      <c r="G14" s="63"/>
      <c r="H14" s="63"/>
    </row>
    <row r="15" spans="1:8" ht="15.75" thickBot="1" x14ac:dyDescent="0.25">
      <c r="A15" s="121" t="s">
        <v>25</v>
      </c>
      <c r="B15" s="122"/>
      <c r="C15" s="123">
        <f>ROUND((((1+C10)*(1+C11)*(1))/(1-(C12))-1),4)</f>
        <v>0.40429999999999999</v>
      </c>
      <c r="D15" s="127">
        <v>0.21429999999999999</v>
      </c>
      <c r="E15" s="128">
        <v>0.2717</v>
      </c>
      <c r="F15" s="129">
        <v>0.3362</v>
      </c>
      <c r="G15" s="63"/>
      <c r="H15" s="63"/>
    </row>
    <row r="16" spans="1:8" ht="14.25" x14ac:dyDescent="0.2">
      <c r="A16" s="63"/>
      <c r="B16" s="63"/>
      <c r="C16" s="63"/>
      <c r="D16" s="63"/>
      <c r="E16" s="64"/>
      <c r="F16" s="63"/>
      <c r="G16" s="63"/>
      <c r="H16" s="63"/>
    </row>
    <row r="17" spans="1:8" ht="14.25" x14ac:dyDescent="0.2">
      <c r="A17" s="63"/>
      <c r="B17" s="63"/>
      <c r="C17" s="63"/>
      <c r="D17" s="63"/>
      <c r="E17" s="64"/>
      <c r="F17" s="63"/>
      <c r="G17" s="63"/>
      <c r="H17" s="63"/>
    </row>
    <row r="18" spans="1:8" ht="14.25" x14ac:dyDescent="0.2">
      <c r="A18" s="63"/>
      <c r="B18" s="63"/>
      <c r="C18" s="63"/>
      <c r="D18" s="63"/>
      <c r="E18" s="64"/>
      <c r="F18" s="63"/>
      <c r="G18" s="63"/>
      <c r="H18" s="63"/>
    </row>
    <row r="19" spans="1:8" ht="14.25" x14ac:dyDescent="0.2">
      <c r="A19" s="63"/>
      <c r="B19" s="63"/>
      <c r="C19" s="63"/>
      <c r="D19" s="63"/>
      <c r="E19" s="64"/>
      <c r="F19" s="63"/>
      <c r="G19" s="63"/>
      <c r="H19" s="63"/>
    </row>
    <row r="23" spans="1:8" ht="13.5" thickBot="1" x14ac:dyDescent="0.25"/>
    <row r="24" spans="1:8" ht="15.75" x14ac:dyDescent="0.2">
      <c r="A24" s="266" t="s">
        <v>69</v>
      </c>
      <c r="B24" s="267"/>
      <c r="C24" s="267"/>
      <c r="D24" s="267"/>
      <c r="E24" s="267"/>
      <c r="F24" s="268"/>
    </row>
    <row r="25" spans="1:8" ht="16.5" thickBot="1" x14ac:dyDescent="0.25">
      <c r="A25" s="134" t="s">
        <v>154</v>
      </c>
      <c r="B25" s="135"/>
      <c r="C25" s="135"/>
      <c r="D25" s="135"/>
      <c r="E25" s="135"/>
      <c r="F25" s="136"/>
    </row>
    <row r="26" spans="1:8" ht="15" x14ac:dyDescent="0.25">
      <c r="A26" s="100"/>
      <c r="B26" s="62"/>
      <c r="C26" s="62"/>
      <c r="D26" s="263" t="s">
        <v>81</v>
      </c>
      <c r="E26" s="264"/>
      <c r="F26" s="265"/>
    </row>
    <row r="27" spans="1:8" ht="15" thickBot="1" x14ac:dyDescent="0.25">
      <c r="A27" s="96"/>
      <c r="B27" s="101"/>
      <c r="C27" s="101"/>
      <c r="D27" s="102" t="s">
        <v>52</v>
      </c>
      <c r="E27" s="103" t="s">
        <v>53</v>
      </c>
      <c r="F27" s="104" t="s">
        <v>54</v>
      </c>
    </row>
    <row r="28" spans="1:8" ht="14.25" x14ac:dyDescent="0.2">
      <c r="A28" s="105" t="s">
        <v>19</v>
      </c>
      <c r="B28" s="106" t="s">
        <v>20</v>
      </c>
      <c r="C28" s="107">
        <v>0</v>
      </c>
      <c r="D28" s="124">
        <v>2.9700000000000001E-2</v>
      </c>
      <c r="E28" s="125">
        <v>5.0799999999999998E-2</v>
      </c>
      <c r="F28" s="126">
        <v>6.2700000000000006E-2</v>
      </c>
    </row>
    <row r="29" spans="1:8" ht="14.25" x14ac:dyDescent="0.2">
      <c r="A29" s="108" t="s">
        <v>21</v>
      </c>
      <c r="B29" s="109" t="s">
        <v>22</v>
      </c>
      <c r="C29" s="110">
        <v>0.32</v>
      </c>
      <c r="D29" s="124">
        <v>7.7799999999999994E-2</v>
      </c>
      <c r="E29" s="125">
        <v>0.1085</v>
      </c>
      <c r="F29" s="126">
        <v>0.13550000000000001</v>
      </c>
    </row>
    <row r="30" spans="1:8" ht="15" thickBot="1" x14ac:dyDescent="0.25">
      <c r="A30" s="112" t="s">
        <v>117</v>
      </c>
      <c r="B30" s="163"/>
      <c r="C30" s="113">
        <f>0.65/100+3/100+15/100+8/100</f>
        <v>0.26650000000000001</v>
      </c>
      <c r="D30" s="90"/>
      <c r="E30" s="114"/>
      <c r="F30" s="111"/>
    </row>
    <row r="31" spans="1:8" ht="14.25" x14ac:dyDescent="0.2">
      <c r="A31" s="115" t="s">
        <v>23</v>
      </c>
      <c r="B31" s="116"/>
      <c r="C31" s="117"/>
      <c r="D31" s="90"/>
      <c r="E31" s="114"/>
      <c r="F31" s="111"/>
    </row>
    <row r="32" spans="1:8" ht="15" thickBot="1" x14ac:dyDescent="0.25">
      <c r="A32" s="118" t="s">
        <v>24</v>
      </c>
      <c r="B32" s="119"/>
      <c r="C32" s="120"/>
      <c r="D32" s="90"/>
      <c r="E32" s="114"/>
      <c r="F32" s="111"/>
    </row>
    <row r="33" spans="1:6" ht="15.75" thickBot="1" x14ac:dyDescent="0.25">
      <c r="A33" s="121" t="s">
        <v>25</v>
      </c>
      <c r="B33" s="122"/>
      <c r="C33" s="123">
        <f>ROUND((((1+C28)*(1+C29)*(1))/(1-(C30))-1),4)</f>
        <v>0.79959999999999998</v>
      </c>
      <c r="D33" s="127">
        <v>0.21429999999999999</v>
      </c>
      <c r="E33" s="128">
        <v>0.2717</v>
      </c>
      <c r="F33" s="129">
        <v>0.3362</v>
      </c>
    </row>
    <row r="34" spans="1:6" ht="14.25" x14ac:dyDescent="0.2">
      <c r="A34" s="63"/>
      <c r="B34" s="63"/>
      <c r="C34" s="63"/>
      <c r="D34" s="63"/>
      <c r="E34" s="64"/>
      <c r="F34" s="63"/>
    </row>
    <row r="35" spans="1:6" ht="14.25" x14ac:dyDescent="0.2">
      <c r="A35" s="63"/>
      <c r="B35" s="63"/>
      <c r="C35" s="63"/>
      <c r="D35" s="63"/>
      <c r="E35" s="64"/>
      <c r="F35" s="63"/>
    </row>
    <row r="36" spans="1:6" ht="14.25" x14ac:dyDescent="0.2">
      <c r="A36" s="63" t="s">
        <v>155</v>
      </c>
      <c r="B36" s="63"/>
      <c r="C36" s="63"/>
      <c r="D36" s="63"/>
      <c r="E36" s="64"/>
      <c r="F36" s="63"/>
    </row>
    <row r="37" spans="1:6" ht="14.25" x14ac:dyDescent="0.2">
      <c r="A37" s="63" t="s">
        <v>156</v>
      </c>
      <c r="B37" s="63"/>
      <c r="C37" s="63"/>
      <c r="D37" s="63"/>
      <c r="E37" s="64"/>
      <c r="F37" s="63"/>
    </row>
  </sheetData>
  <mergeCells count="6">
    <mergeCell ref="D26:F26"/>
    <mergeCell ref="D8:F8"/>
    <mergeCell ref="A6:F6"/>
    <mergeCell ref="A1:F1"/>
    <mergeCell ref="A3:F3"/>
    <mergeCell ref="A24:F24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7"/>
  <sheetViews>
    <sheetView workbookViewId="0">
      <selection activeCell="E15" sqref="E15"/>
    </sheetView>
  </sheetViews>
  <sheetFormatPr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270" t="s">
        <v>70</v>
      </c>
      <c r="B1" s="271"/>
    </row>
    <row r="2" spans="1:2" s="50" customFormat="1" ht="19.5" customHeight="1" x14ac:dyDescent="0.2">
      <c r="A2" s="137" t="s">
        <v>64</v>
      </c>
      <c r="B2" s="138" t="s">
        <v>113</v>
      </c>
    </row>
    <row r="3" spans="1:2" ht="19.5" customHeight="1" x14ac:dyDescent="0.2">
      <c r="A3" s="76">
        <v>1</v>
      </c>
      <c r="B3" s="75">
        <v>33.629999999999995</v>
      </c>
    </row>
    <row r="4" spans="1:2" ht="19.5" customHeight="1" x14ac:dyDescent="0.2">
      <c r="A4" s="76">
        <v>2</v>
      </c>
      <c r="B4" s="75">
        <v>43.13</v>
      </c>
    </row>
    <row r="5" spans="1:2" ht="19.5" customHeight="1" x14ac:dyDescent="0.2">
      <c r="A5" s="76">
        <v>3</v>
      </c>
      <c r="B5" s="75">
        <v>48.68</v>
      </c>
    </row>
    <row r="6" spans="1:2" ht="19.5" customHeight="1" x14ac:dyDescent="0.2">
      <c r="A6" s="76">
        <v>4</v>
      </c>
      <c r="B6" s="75">
        <v>52.62</v>
      </c>
    </row>
    <row r="7" spans="1:2" ht="19.5" customHeight="1" x14ac:dyDescent="0.2">
      <c r="A7" s="76">
        <v>5</v>
      </c>
      <c r="B7" s="75">
        <v>55.679999999999993</v>
      </c>
    </row>
    <row r="8" spans="1:2" ht="19.5" customHeight="1" x14ac:dyDescent="0.2">
      <c r="A8" s="76">
        <v>6</v>
      </c>
      <c r="B8" s="75">
        <v>58.18</v>
      </c>
    </row>
    <row r="9" spans="1:2" ht="19.5" customHeight="1" x14ac:dyDescent="0.2">
      <c r="A9" s="76">
        <v>7</v>
      </c>
      <c r="B9" s="75">
        <v>60.29</v>
      </c>
    </row>
    <row r="10" spans="1:2" ht="19.5" customHeight="1" x14ac:dyDescent="0.2">
      <c r="A10" s="76">
        <v>8</v>
      </c>
      <c r="B10" s="75">
        <v>62.12</v>
      </c>
    </row>
    <row r="11" spans="1:2" ht="19.5" customHeight="1" x14ac:dyDescent="0.2">
      <c r="A11" s="76">
        <v>9</v>
      </c>
      <c r="B11" s="75">
        <v>63.73</v>
      </c>
    </row>
    <row r="12" spans="1:2" ht="19.5" customHeight="1" x14ac:dyDescent="0.2">
      <c r="A12" s="76">
        <v>10</v>
      </c>
      <c r="B12" s="75">
        <v>65.180000000000007</v>
      </c>
    </row>
    <row r="13" spans="1:2" ht="19.5" customHeight="1" x14ac:dyDescent="0.2">
      <c r="A13" s="76">
        <v>11</v>
      </c>
      <c r="B13" s="75">
        <v>66.47999999999999</v>
      </c>
    </row>
    <row r="14" spans="1:2" ht="19.5" customHeight="1" x14ac:dyDescent="0.2">
      <c r="A14" s="76">
        <v>12</v>
      </c>
      <c r="B14" s="75">
        <v>67.67</v>
      </c>
    </row>
    <row r="15" spans="1:2" ht="19.5" customHeight="1" x14ac:dyDescent="0.2">
      <c r="A15" s="76">
        <v>13</v>
      </c>
      <c r="B15" s="75">
        <v>68.77</v>
      </c>
    </row>
    <row r="16" spans="1:2" ht="19.5" customHeight="1" x14ac:dyDescent="0.2">
      <c r="A16" s="76">
        <v>14</v>
      </c>
      <c r="B16" s="75">
        <v>69.789999999999992</v>
      </c>
    </row>
    <row r="17" spans="1:2" ht="19.5" customHeight="1" thickBot="1" x14ac:dyDescent="0.25">
      <c r="A17" s="77">
        <v>15</v>
      </c>
      <c r="B17" s="78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F34" sqref="F34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133" t="s">
        <v>74</v>
      </c>
    </row>
    <row r="2" spans="1:1" x14ac:dyDescent="0.2">
      <c r="A2" s="130"/>
    </row>
    <row r="3" spans="1:1" x14ac:dyDescent="0.2">
      <c r="A3" s="130" t="s">
        <v>83</v>
      </c>
    </row>
    <row r="4" spans="1:1" x14ac:dyDescent="0.2">
      <c r="A4" s="130"/>
    </row>
    <row r="5" spans="1:1" x14ac:dyDescent="0.2">
      <c r="A5" s="130"/>
    </row>
    <row r="6" spans="1:1" x14ac:dyDescent="0.2">
      <c r="A6" s="130"/>
    </row>
    <row r="7" spans="1:1" x14ac:dyDescent="0.2">
      <c r="A7" s="130"/>
    </row>
    <row r="8" spans="1:1" x14ac:dyDescent="0.2">
      <c r="A8" s="130"/>
    </row>
    <row r="9" spans="1:1" x14ac:dyDescent="0.2">
      <c r="A9" s="130"/>
    </row>
    <row r="10" spans="1:1" x14ac:dyDescent="0.2">
      <c r="A10" s="130"/>
    </row>
    <row r="11" spans="1:1" x14ac:dyDescent="0.2">
      <c r="A11" s="130"/>
    </row>
    <row r="12" spans="1:1" ht="19.5" x14ac:dyDescent="0.35">
      <c r="A12" s="131" t="s">
        <v>71</v>
      </c>
    </row>
    <row r="13" spans="1:1" ht="15" x14ac:dyDescent="0.2">
      <c r="A13" s="131" t="s">
        <v>29</v>
      </c>
    </row>
    <row r="14" spans="1:1" ht="15" x14ac:dyDescent="0.2">
      <c r="A14" s="131" t="s">
        <v>31</v>
      </c>
    </row>
    <row r="15" spans="1:1" ht="19.5" x14ac:dyDescent="0.35">
      <c r="A15" s="131" t="s">
        <v>72</v>
      </c>
    </row>
    <row r="16" spans="1:1" ht="19.5" x14ac:dyDescent="0.35">
      <c r="A16" s="131" t="s">
        <v>73</v>
      </c>
    </row>
    <row r="17" spans="1:1" ht="15.75" thickBot="1" x14ac:dyDescent="0.25">
      <c r="A17" s="132" t="s">
        <v>30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1"/>
  <sheetViews>
    <sheetView topLeftCell="A25" zoomScale="170" zoomScaleNormal="170" workbookViewId="0">
      <selection activeCell="A4" sqref="A4"/>
    </sheetView>
  </sheetViews>
  <sheetFormatPr defaultRowHeight="12.75" x14ac:dyDescent="0.2"/>
  <cols>
    <col min="1" max="1" width="58.28515625" style="140" customWidth="1"/>
    <col min="2" max="2" width="11.140625" style="140" bestFit="1" customWidth="1"/>
    <col min="3" max="3" width="11.28515625" style="140" bestFit="1" customWidth="1"/>
    <col min="4" max="16384" width="9.140625" style="140"/>
  </cols>
  <sheetData>
    <row r="1" spans="1:3" x14ac:dyDescent="0.2">
      <c r="A1" s="8" t="s">
        <v>57</v>
      </c>
    </row>
    <row r="2" spans="1:3" x14ac:dyDescent="0.2">
      <c r="A2" s="144" t="s">
        <v>89</v>
      </c>
    </row>
    <row r="3" spans="1:3" x14ac:dyDescent="0.2">
      <c r="A3" s="144" t="s">
        <v>114</v>
      </c>
    </row>
    <row r="4" spans="1:3" x14ac:dyDescent="0.2">
      <c r="A4" s="4" t="s">
        <v>112</v>
      </c>
    </row>
    <row r="5" spans="1:3" ht="13.5" thickBot="1" x14ac:dyDescent="0.25"/>
    <row r="6" spans="1:3" ht="18" x14ac:dyDescent="0.25">
      <c r="A6" s="272" t="s">
        <v>109</v>
      </c>
      <c r="B6" s="273"/>
      <c r="C6" s="274"/>
    </row>
    <row r="7" spans="1:3" s="145" customFormat="1" ht="18" x14ac:dyDescent="0.25">
      <c r="A7" s="160"/>
      <c r="B7" s="159"/>
      <c r="C7" s="161"/>
    </row>
    <row r="8" spans="1:3" s="50" customFormat="1" ht="15" x14ac:dyDescent="0.25">
      <c r="A8" s="146" t="s">
        <v>110</v>
      </c>
      <c r="B8" s="147" t="s">
        <v>90</v>
      </c>
      <c r="C8" s="148" t="s">
        <v>51</v>
      </c>
    </row>
    <row r="9" spans="1:3" ht="14.25" x14ac:dyDescent="0.2">
      <c r="A9" s="149" t="s">
        <v>98</v>
      </c>
      <c r="B9" s="150" t="s">
        <v>91</v>
      </c>
      <c r="C9" s="91"/>
    </row>
    <row r="10" spans="1:3" ht="14.25" x14ac:dyDescent="0.2">
      <c r="A10" s="90" t="s">
        <v>99</v>
      </c>
      <c r="B10" s="151" t="s">
        <v>96</v>
      </c>
      <c r="C10" s="152">
        <f>0.0362741*C9^0.2336249</f>
        <v>0</v>
      </c>
    </row>
    <row r="11" spans="1:3" ht="14.25" x14ac:dyDescent="0.2">
      <c r="A11" s="90" t="s">
        <v>100</v>
      </c>
      <c r="B11" s="151" t="s">
        <v>97</v>
      </c>
      <c r="C11" s="153">
        <f>C9*C10/1000</f>
        <v>0</v>
      </c>
    </row>
    <row r="12" spans="1:3" ht="14.25" x14ac:dyDescent="0.2">
      <c r="A12" s="90" t="s">
        <v>106</v>
      </c>
      <c r="B12" s="151" t="s">
        <v>92</v>
      </c>
      <c r="C12" s="154">
        <f>(C11*30)</f>
        <v>0</v>
      </c>
    </row>
    <row r="13" spans="1:3" ht="14.25" x14ac:dyDescent="0.2">
      <c r="A13" s="90" t="s">
        <v>102</v>
      </c>
      <c r="B13" s="151" t="s">
        <v>26</v>
      </c>
      <c r="C13" s="157"/>
    </row>
    <row r="14" spans="1:3" ht="14.25" x14ac:dyDescent="0.2">
      <c r="A14" s="90" t="s">
        <v>101</v>
      </c>
      <c r="B14" s="151" t="s">
        <v>97</v>
      </c>
      <c r="C14" s="153">
        <f>IFERROR(C11*7/C13,0)</f>
        <v>0</v>
      </c>
    </row>
    <row r="15" spans="1:3" ht="14.25" x14ac:dyDescent="0.2">
      <c r="A15" s="149" t="s">
        <v>93</v>
      </c>
      <c r="B15" s="151" t="s">
        <v>94</v>
      </c>
      <c r="C15" s="111">
        <v>500</v>
      </c>
    </row>
    <row r="16" spans="1:3" ht="14.25" x14ac:dyDescent="0.2">
      <c r="A16" s="90" t="s">
        <v>107</v>
      </c>
      <c r="B16" s="151"/>
      <c r="C16" s="91"/>
    </row>
    <row r="17" spans="1:3" ht="14.25" x14ac:dyDescent="0.2">
      <c r="A17" s="149" t="s">
        <v>108</v>
      </c>
      <c r="B17" s="151" t="s">
        <v>95</v>
      </c>
      <c r="C17" s="91"/>
    </row>
    <row r="18" spans="1:3" ht="14.25" x14ac:dyDescent="0.2">
      <c r="A18" s="90" t="s">
        <v>103</v>
      </c>
      <c r="B18" s="151" t="s">
        <v>92</v>
      </c>
      <c r="C18" s="111">
        <f>IF(AND(C17&gt;=15,C16=1),5.8,C17/2)</f>
        <v>0</v>
      </c>
    </row>
    <row r="19" spans="1:3" ht="14.25" x14ac:dyDescent="0.2">
      <c r="A19" s="149" t="s">
        <v>104</v>
      </c>
      <c r="B19" s="151"/>
      <c r="C19" s="153">
        <f>IFERROR(C14/C18,0)</f>
        <v>0</v>
      </c>
    </row>
    <row r="20" spans="1:3" ht="14.25" x14ac:dyDescent="0.2">
      <c r="A20" s="149" t="s">
        <v>111</v>
      </c>
      <c r="B20" s="151"/>
      <c r="C20" s="162"/>
    </row>
    <row r="21" spans="1:3" ht="15" thickBot="1" x14ac:dyDescent="0.25">
      <c r="A21" s="155" t="s">
        <v>105</v>
      </c>
      <c r="B21" s="156"/>
      <c r="C21" s="158">
        <f>IFERROR(C19/C20,0)</f>
        <v>0</v>
      </c>
    </row>
  </sheetData>
  <mergeCells count="1">
    <mergeCell ref="A6:C6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1.Serviço Médico OPTANTE SIMPLE</vt:lpstr>
      <vt:lpstr>1. Serviço Médico não optante s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'1.Serviço Médico OPTANTE SIMPLE'!Area_de_impressao</vt:lpstr>
      <vt:lpstr>'2.Encargos Sociais'!Area_de_impressao</vt:lpstr>
      <vt:lpstr>'3.CAGED'!Area_de_impressao</vt:lpstr>
      <vt:lpstr>'1.Serviço Médico OPTANTE SIMPLE'!Titulos_de_impressao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Licitaçoes</cp:lastModifiedBy>
  <cp:lastPrinted>2021-10-11T18:15:24Z</cp:lastPrinted>
  <dcterms:created xsi:type="dcterms:W3CDTF">2000-12-13T10:02:50Z</dcterms:created>
  <dcterms:modified xsi:type="dcterms:W3CDTF">2021-10-11T18:52:10Z</dcterms:modified>
</cp:coreProperties>
</file>